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ackup i\Bendahara Pengeluaran 2023\5. KPKPA\"/>
    </mc:Choice>
  </mc:AlternateContent>
  <bookViews>
    <workbookView xWindow="0" yWindow="0" windowWidth="20490" windowHeight="7035"/>
  </bookViews>
  <sheets>
    <sheet name="KPKPA JUNI 2023" sheetId="1" r:id="rId1"/>
  </sheets>
  <definedNames>
    <definedName name="_xlnm.Print_Titles" localSheetId="0">'KPKPA JUNI 2023'!$7:$9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3" i="1" l="1"/>
  <c r="I87" i="1"/>
  <c r="I84" i="1"/>
  <c r="I89" i="1"/>
  <c r="I80" i="1"/>
  <c r="I52" i="1"/>
  <c r="I65" i="1"/>
  <c r="I54" i="1"/>
  <c r="I38" i="1"/>
  <c r="I61" i="1"/>
  <c r="I41" i="1"/>
  <c r="I35" i="1"/>
  <c r="I33" i="1"/>
  <c r="I31" i="1"/>
  <c r="I30" i="1"/>
  <c r="I23" i="1"/>
  <c r="I21" i="1"/>
  <c r="I20" i="1"/>
  <c r="I19" i="1"/>
  <c r="I102" i="1"/>
  <c r="I42" i="1"/>
  <c r="I62" i="1"/>
  <c r="I17" i="1"/>
  <c r="J102" i="1" l="1"/>
  <c r="K102" i="1" s="1"/>
  <c r="N101" i="1"/>
  <c r="J101" i="1"/>
  <c r="K101" i="1" s="1"/>
  <c r="N100" i="1"/>
  <c r="K100" i="1"/>
  <c r="J100" i="1"/>
  <c r="Q99" i="1"/>
  <c r="N99" i="1"/>
  <c r="K99" i="1"/>
  <c r="J99" i="1"/>
  <c r="Q98" i="1"/>
  <c r="N98" i="1"/>
  <c r="K98" i="1"/>
  <c r="J98" i="1"/>
  <c r="I98" i="1"/>
  <c r="H97" i="1"/>
  <c r="H96" i="1" s="1"/>
  <c r="G97" i="1"/>
  <c r="G96" i="1" s="1"/>
  <c r="F97" i="1"/>
  <c r="E97" i="1"/>
  <c r="D97" i="1"/>
  <c r="D96" i="1" s="1"/>
  <c r="C97" i="1"/>
  <c r="C96" i="1" s="1"/>
  <c r="F96" i="1"/>
  <c r="E96" i="1"/>
  <c r="Q95" i="1"/>
  <c r="N95" i="1"/>
  <c r="J95" i="1"/>
  <c r="K95" i="1" s="1"/>
  <c r="J94" i="1"/>
  <c r="K94" i="1" s="1"/>
  <c r="N93" i="1"/>
  <c r="J93" i="1"/>
  <c r="K93" i="1" s="1"/>
  <c r="N92" i="1"/>
  <c r="J92" i="1"/>
  <c r="K92" i="1" s="1"/>
  <c r="Q91" i="1"/>
  <c r="N91" i="1"/>
  <c r="J91" i="1"/>
  <c r="K91" i="1" s="1"/>
  <c r="N90" i="1"/>
  <c r="K90" i="1"/>
  <c r="J90" i="1"/>
  <c r="N89" i="1"/>
  <c r="J89" i="1"/>
  <c r="K89" i="1" s="1"/>
  <c r="N88" i="1"/>
  <c r="J88" i="1"/>
  <c r="K88" i="1" s="1"/>
  <c r="I86" i="1"/>
  <c r="N85" i="1"/>
  <c r="J85" i="1"/>
  <c r="K85" i="1" s="1"/>
  <c r="Q84" i="1"/>
  <c r="I83" i="1"/>
  <c r="H83" i="1"/>
  <c r="G83" i="1"/>
  <c r="F83" i="1"/>
  <c r="F82" i="1" s="1"/>
  <c r="E83" i="1"/>
  <c r="E82" i="1" s="1"/>
  <c r="D83" i="1"/>
  <c r="C83" i="1"/>
  <c r="H82" i="1"/>
  <c r="G82" i="1"/>
  <c r="D82" i="1"/>
  <c r="C82" i="1"/>
  <c r="Q81" i="1"/>
  <c r="N81" i="1"/>
  <c r="J81" i="1"/>
  <c r="K81" i="1" s="1"/>
  <c r="N79" i="1"/>
  <c r="J79" i="1"/>
  <c r="K79" i="1" s="1"/>
  <c r="H78" i="1"/>
  <c r="H77" i="1" s="1"/>
  <c r="G78" i="1"/>
  <c r="F78" i="1"/>
  <c r="E78" i="1"/>
  <c r="E77" i="1" s="1"/>
  <c r="D78" i="1"/>
  <c r="D77" i="1" s="1"/>
  <c r="C78" i="1"/>
  <c r="G77" i="1"/>
  <c r="F77" i="1"/>
  <c r="C77" i="1"/>
  <c r="N76" i="1"/>
  <c r="K76" i="1"/>
  <c r="I76" i="1"/>
  <c r="N75" i="1"/>
  <c r="K75" i="1"/>
  <c r="I75" i="1"/>
  <c r="H75" i="1"/>
  <c r="H74" i="1" s="1"/>
  <c r="G75" i="1"/>
  <c r="G74" i="1" s="1"/>
  <c r="G73" i="1" s="1"/>
  <c r="G72" i="1" s="1"/>
  <c r="F75" i="1"/>
  <c r="E75" i="1"/>
  <c r="D75" i="1"/>
  <c r="D74" i="1" s="1"/>
  <c r="C75" i="1"/>
  <c r="C74" i="1" s="1"/>
  <c r="C73" i="1" s="1"/>
  <c r="C72" i="1" s="1"/>
  <c r="I74" i="1"/>
  <c r="F74" i="1"/>
  <c r="F73" i="1" s="1"/>
  <c r="F72" i="1" s="1"/>
  <c r="E74" i="1"/>
  <c r="E73" i="1" s="1"/>
  <c r="E72" i="1"/>
  <c r="N71" i="1"/>
  <c r="K71" i="1"/>
  <c r="J71" i="1"/>
  <c r="J70" i="1"/>
  <c r="K70" i="1" s="1"/>
  <c r="I70" i="1"/>
  <c r="N70" i="1" s="1"/>
  <c r="H70" i="1"/>
  <c r="G70" i="1"/>
  <c r="G69" i="1" s="1"/>
  <c r="F70" i="1"/>
  <c r="F69" i="1" s="1"/>
  <c r="E70" i="1"/>
  <c r="D70" i="1"/>
  <c r="C70" i="1"/>
  <c r="C69" i="1" s="1"/>
  <c r="N69" i="1"/>
  <c r="I69" i="1"/>
  <c r="H69" i="1"/>
  <c r="E69" i="1"/>
  <c r="D69" i="1"/>
  <c r="N68" i="1"/>
  <c r="J68" i="1"/>
  <c r="K68" i="1" s="1"/>
  <c r="N67" i="1"/>
  <c r="J67" i="1"/>
  <c r="K67" i="1" s="1"/>
  <c r="N66" i="1"/>
  <c r="J66" i="1"/>
  <c r="K66" i="1" s="1"/>
  <c r="Q65" i="1"/>
  <c r="N65" i="1"/>
  <c r="J65" i="1"/>
  <c r="K65" i="1" s="1"/>
  <c r="I64" i="1"/>
  <c r="J64" i="1" s="1"/>
  <c r="K64" i="1" s="1"/>
  <c r="H64" i="1"/>
  <c r="H63" i="1" s="1"/>
  <c r="G64" i="1"/>
  <c r="G63" i="1" s="1"/>
  <c r="F64" i="1"/>
  <c r="E64" i="1"/>
  <c r="D64" i="1"/>
  <c r="D63" i="1" s="1"/>
  <c r="C64" i="1"/>
  <c r="C63" i="1" s="1"/>
  <c r="F63" i="1"/>
  <c r="E63" i="1"/>
  <c r="Q62" i="1"/>
  <c r="N62" i="1"/>
  <c r="J62" i="1"/>
  <c r="K62" i="1" s="1"/>
  <c r="N61" i="1"/>
  <c r="J61" i="1"/>
  <c r="K61" i="1" s="1"/>
  <c r="Q60" i="1"/>
  <c r="N60" i="1"/>
  <c r="J60" i="1"/>
  <c r="K60" i="1" s="1"/>
  <c r="N59" i="1"/>
  <c r="I59" i="1"/>
  <c r="J59" i="1" s="1"/>
  <c r="K59" i="1" s="1"/>
  <c r="H59" i="1"/>
  <c r="H58" i="1" s="1"/>
  <c r="H11" i="1" s="1"/>
  <c r="H10" i="1" s="1"/>
  <c r="G59" i="1"/>
  <c r="F59" i="1"/>
  <c r="E59" i="1"/>
  <c r="E58" i="1" s="1"/>
  <c r="D59" i="1"/>
  <c r="D58" i="1" s="1"/>
  <c r="C59" i="1"/>
  <c r="Q58" i="1"/>
  <c r="G58" i="1"/>
  <c r="F58" i="1"/>
  <c r="C58" i="1"/>
  <c r="N57" i="1"/>
  <c r="J57" i="1"/>
  <c r="K57" i="1" s="1"/>
  <c r="N56" i="1"/>
  <c r="I56" i="1"/>
  <c r="J56" i="1" s="1"/>
  <c r="K56" i="1" s="1"/>
  <c r="H56" i="1"/>
  <c r="G56" i="1"/>
  <c r="F56" i="1"/>
  <c r="E56" i="1"/>
  <c r="D56" i="1"/>
  <c r="C56" i="1"/>
  <c r="J55" i="1"/>
  <c r="K55" i="1" s="1"/>
  <c r="I55" i="1"/>
  <c r="N55" i="1" s="1"/>
  <c r="J54" i="1"/>
  <c r="K54" i="1" s="1"/>
  <c r="N54" i="1"/>
  <c r="N53" i="1"/>
  <c r="J53" i="1"/>
  <c r="K53" i="1" s="1"/>
  <c r="N51" i="1"/>
  <c r="J51" i="1"/>
  <c r="K51" i="1" s="1"/>
  <c r="N50" i="1"/>
  <c r="K50" i="1"/>
  <c r="J50" i="1"/>
  <c r="N49" i="1"/>
  <c r="K49" i="1"/>
  <c r="J49" i="1"/>
  <c r="N48" i="1"/>
  <c r="J48" i="1"/>
  <c r="K48" i="1" s="1"/>
  <c r="Q47" i="1"/>
  <c r="J47" i="1"/>
  <c r="K47" i="1" s="1"/>
  <c r="I47" i="1"/>
  <c r="N47" i="1" s="1"/>
  <c r="H46" i="1"/>
  <c r="G46" i="1"/>
  <c r="G45" i="1" s="1"/>
  <c r="F46" i="1"/>
  <c r="F45" i="1" s="1"/>
  <c r="E46" i="1"/>
  <c r="D46" i="1"/>
  <c r="C46" i="1"/>
  <c r="C45" i="1" s="1"/>
  <c r="H45" i="1"/>
  <c r="E45" i="1"/>
  <c r="D45" i="1"/>
  <c r="N44" i="1"/>
  <c r="J44" i="1"/>
  <c r="K44" i="1" s="1"/>
  <c r="N43" i="1"/>
  <c r="J43" i="1"/>
  <c r="K43" i="1" s="1"/>
  <c r="N42" i="1"/>
  <c r="J42" i="1"/>
  <c r="K42" i="1" s="1"/>
  <c r="N41" i="1"/>
  <c r="J41" i="1"/>
  <c r="K41" i="1" s="1"/>
  <c r="H40" i="1"/>
  <c r="G40" i="1"/>
  <c r="F40" i="1"/>
  <c r="E40" i="1"/>
  <c r="D40" i="1"/>
  <c r="C40" i="1"/>
  <c r="Q39" i="1"/>
  <c r="N39" i="1"/>
  <c r="K39" i="1"/>
  <c r="J39" i="1"/>
  <c r="J38" i="1"/>
  <c r="K38" i="1" s="1"/>
  <c r="N38" i="1"/>
  <c r="I37" i="1"/>
  <c r="N37" i="1" s="1"/>
  <c r="H37" i="1"/>
  <c r="G37" i="1"/>
  <c r="G36" i="1" s="1"/>
  <c r="F37" i="1"/>
  <c r="F36" i="1" s="1"/>
  <c r="E37" i="1"/>
  <c r="D37" i="1"/>
  <c r="C37" i="1"/>
  <c r="C36" i="1" s="1"/>
  <c r="H36" i="1"/>
  <c r="E36" i="1"/>
  <c r="D36" i="1"/>
  <c r="D11" i="1" s="1"/>
  <c r="D10" i="1" s="1"/>
  <c r="J35" i="1"/>
  <c r="K35" i="1" s="1"/>
  <c r="N35" i="1"/>
  <c r="Q34" i="1"/>
  <c r="N34" i="1"/>
  <c r="K34" i="1"/>
  <c r="J34" i="1"/>
  <c r="I34" i="1"/>
  <c r="N33" i="1"/>
  <c r="J33" i="1"/>
  <c r="K33" i="1" s="1"/>
  <c r="H32" i="1"/>
  <c r="G32" i="1"/>
  <c r="F32" i="1"/>
  <c r="E32" i="1"/>
  <c r="D32" i="1"/>
  <c r="C32" i="1"/>
  <c r="N31" i="1"/>
  <c r="N30" i="1"/>
  <c r="N29" i="1"/>
  <c r="J29" i="1"/>
  <c r="K29" i="1" s="1"/>
  <c r="Q28" i="1"/>
  <c r="H28" i="1"/>
  <c r="G28" i="1"/>
  <c r="F28" i="1"/>
  <c r="E28" i="1"/>
  <c r="D28" i="1"/>
  <c r="C28" i="1"/>
  <c r="K27" i="1"/>
  <c r="K26" i="1"/>
  <c r="J26" i="1"/>
  <c r="J25" i="1"/>
  <c r="K25" i="1" s="1"/>
  <c r="N24" i="1"/>
  <c r="I24" i="1"/>
  <c r="J24" i="1" s="1"/>
  <c r="K24" i="1" s="1"/>
  <c r="H24" i="1"/>
  <c r="G24" i="1"/>
  <c r="F24" i="1"/>
  <c r="E24" i="1"/>
  <c r="D24" i="1"/>
  <c r="C24" i="1"/>
  <c r="J23" i="1"/>
  <c r="K23" i="1" s="1"/>
  <c r="N23" i="1"/>
  <c r="N22" i="1"/>
  <c r="K22" i="1"/>
  <c r="J22" i="1"/>
  <c r="J21" i="1"/>
  <c r="K21" i="1" s="1"/>
  <c r="N21" i="1"/>
  <c r="J20" i="1"/>
  <c r="K20" i="1" s="1"/>
  <c r="N20" i="1"/>
  <c r="J19" i="1"/>
  <c r="K19" i="1" s="1"/>
  <c r="N19" i="1"/>
  <c r="I18" i="1"/>
  <c r="N18" i="1" s="1"/>
  <c r="H18" i="1"/>
  <c r="G18" i="1"/>
  <c r="F18" i="1"/>
  <c r="F12" i="1" s="1"/>
  <c r="F11" i="1" s="1"/>
  <c r="F10" i="1" s="1"/>
  <c r="F103" i="1" s="1"/>
  <c r="E18" i="1"/>
  <c r="D18" i="1"/>
  <c r="C18" i="1"/>
  <c r="N17" i="1"/>
  <c r="K17" i="1"/>
  <c r="J17" i="1"/>
  <c r="I16" i="1"/>
  <c r="N16" i="1" s="1"/>
  <c r="H16" i="1"/>
  <c r="H12" i="1" s="1"/>
  <c r="G16" i="1"/>
  <c r="G12" i="1" s="1"/>
  <c r="F16" i="1"/>
  <c r="E16" i="1"/>
  <c r="D16" i="1"/>
  <c r="D12" i="1" s="1"/>
  <c r="C16" i="1"/>
  <c r="N15" i="1"/>
  <c r="J15" i="1"/>
  <c r="K15" i="1" s="1"/>
  <c r="N14" i="1"/>
  <c r="K14" i="1"/>
  <c r="J14" i="1"/>
  <c r="N13" i="1"/>
  <c r="I13" i="1"/>
  <c r="H13" i="1"/>
  <c r="G13" i="1"/>
  <c r="F13" i="1"/>
  <c r="E13" i="1"/>
  <c r="D13" i="1"/>
  <c r="C13" i="1"/>
  <c r="J13" i="1" s="1"/>
  <c r="K13" i="1" s="1"/>
  <c r="E12" i="1"/>
  <c r="E11" i="1" s="1"/>
  <c r="E10" i="1" s="1"/>
  <c r="E103" i="1" s="1"/>
  <c r="G11" i="1"/>
  <c r="G10" i="1" s="1"/>
  <c r="G103" i="1" s="1"/>
  <c r="Q10" i="1"/>
  <c r="I63" i="1" l="1"/>
  <c r="N64" i="1"/>
  <c r="J37" i="1"/>
  <c r="K37" i="1" s="1"/>
  <c r="J18" i="1"/>
  <c r="K18" i="1" s="1"/>
  <c r="N83" i="1"/>
  <c r="I82" i="1"/>
  <c r="J83" i="1"/>
  <c r="K83" i="1" s="1"/>
  <c r="L75" i="1"/>
  <c r="I28" i="1"/>
  <c r="J31" i="1"/>
  <c r="K31" i="1" s="1"/>
  <c r="N52" i="1"/>
  <c r="I46" i="1"/>
  <c r="J52" i="1"/>
  <c r="K52" i="1" s="1"/>
  <c r="N63" i="1"/>
  <c r="J63" i="1"/>
  <c r="K63" i="1" s="1"/>
  <c r="D73" i="1"/>
  <c r="D72" i="1" s="1"/>
  <c r="D103" i="1" s="1"/>
  <c r="H73" i="1"/>
  <c r="H72" i="1" s="1"/>
  <c r="H103" i="1" s="1"/>
  <c r="J16" i="1"/>
  <c r="K16" i="1" s="1"/>
  <c r="C12" i="1"/>
  <c r="C11" i="1" s="1"/>
  <c r="C10" i="1" s="1"/>
  <c r="C103" i="1" s="1"/>
  <c r="N80" i="1"/>
  <c r="J80" i="1"/>
  <c r="K80" i="1" s="1"/>
  <c r="I78" i="1"/>
  <c r="N84" i="1"/>
  <c r="J84" i="1"/>
  <c r="K84" i="1" s="1"/>
  <c r="N86" i="1"/>
  <c r="J86" i="1"/>
  <c r="K86" i="1" s="1"/>
  <c r="J30" i="1"/>
  <c r="K30" i="1" s="1"/>
  <c r="J69" i="1"/>
  <c r="K69" i="1" s="1"/>
  <c r="N74" i="1"/>
  <c r="J74" i="1"/>
  <c r="K74" i="1" s="1"/>
  <c r="N87" i="1"/>
  <c r="J87" i="1"/>
  <c r="K87" i="1" s="1"/>
  <c r="N102" i="1"/>
  <c r="I40" i="1"/>
  <c r="I32" i="1"/>
  <c r="I58" i="1"/>
  <c r="I97" i="1"/>
  <c r="I77" i="1" l="1"/>
  <c r="J78" i="1"/>
  <c r="K78" i="1" s="1"/>
  <c r="N78" i="1"/>
  <c r="J58" i="1"/>
  <c r="K58" i="1" s="1"/>
  <c r="N58" i="1"/>
  <c r="N28" i="1"/>
  <c r="J28" i="1"/>
  <c r="K28" i="1" s="1"/>
  <c r="I12" i="1"/>
  <c r="J82" i="1"/>
  <c r="K82" i="1" s="1"/>
  <c r="N82" i="1"/>
  <c r="J97" i="1"/>
  <c r="K97" i="1" s="1"/>
  <c r="N97" i="1"/>
  <c r="I96" i="1"/>
  <c r="N46" i="1"/>
  <c r="I45" i="1"/>
  <c r="J46" i="1"/>
  <c r="K46" i="1" s="1"/>
  <c r="J32" i="1"/>
  <c r="K32" i="1" s="1"/>
  <c r="N32" i="1"/>
  <c r="J40" i="1"/>
  <c r="K40" i="1" s="1"/>
  <c r="I36" i="1"/>
  <c r="N40" i="1"/>
  <c r="N12" i="1" l="1"/>
  <c r="I11" i="1"/>
  <c r="J12" i="1"/>
  <c r="K12" i="1" s="1"/>
  <c r="J45" i="1"/>
  <c r="K45" i="1" s="1"/>
  <c r="N45" i="1"/>
  <c r="J36" i="1"/>
  <c r="K36" i="1" s="1"/>
  <c r="N36" i="1"/>
  <c r="N96" i="1"/>
  <c r="J96" i="1"/>
  <c r="K96" i="1" s="1"/>
  <c r="N77" i="1"/>
  <c r="J77" i="1"/>
  <c r="K77" i="1" s="1"/>
  <c r="I73" i="1"/>
  <c r="J73" i="1" l="1"/>
  <c r="K73" i="1" s="1"/>
  <c r="N73" i="1"/>
  <c r="I72" i="1"/>
  <c r="J11" i="1"/>
  <c r="K11" i="1" s="1"/>
  <c r="I10" i="1"/>
  <c r="N11" i="1"/>
  <c r="N72" i="1" l="1"/>
  <c r="J72" i="1"/>
  <c r="K72" i="1" s="1"/>
  <c r="I103" i="1"/>
  <c r="N10" i="1"/>
  <c r="J10" i="1"/>
  <c r="K10" i="1" s="1"/>
  <c r="N103" i="1" l="1"/>
  <c r="J103" i="1"/>
  <c r="K103" i="1" s="1"/>
</calcChain>
</file>

<file path=xl/sharedStrings.xml><?xml version="1.0" encoding="utf-8"?>
<sst xmlns="http://schemas.openxmlformats.org/spreadsheetml/2006/main" count="144" uniqueCount="134">
  <si>
    <t>REKAPITULASI PERKEMBANGAN KEGIATAN BELANJA LANGSUNG</t>
  </si>
  <si>
    <t>TAHUN ANGGARAN 2023</t>
  </si>
  <si>
    <t>SKPD</t>
  </si>
  <si>
    <t>: DINAS SOSIAL, PEMBERDAYAAN MASYARAKAT DAN DESA</t>
  </si>
  <si>
    <t>BULAN</t>
  </si>
  <si>
    <t>No</t>
  </si>
  <si>
    <t>Jenis Pekerjaan</t>
  </si>
  <si>
    <t>Anggaran (Rp)</t>
  </si>
  <si>
    <t>Rekanan</t>
  </si>
  <si>
    <t>No/Tgl 
Kontrak</t>
  </si>
  <si>
    <t>Nilai 
Kontrak</t>
  </si>
  <si>
    <t>Jangka Waktu</t>
  </si>
  <si>
    <t>Realisasi Keuangan</t>
  </si>
  <si>
    <t>Realisasi 
Fisik</t>
  </si>
  <si>
    <t>SP2D</t>
  </si>
  <si>
    <t>BAST I (PHO)</t>
  </si>
  <si>
    <t>BAST II (FHO)</t>
  </si>
  <si>
    <t>Keterangan</t>
  </si>
  <si>
    <t>Perubahan APBD 2022</t>
  </si>
  <si>
    <t>Mulai</t>
  </si>
  <si>
    <t>Selesai</t>
  </si>
  <si>
    <t>Jumlah (Rp)</t>
  </si>
  <si>
    <t>%</t>
  </si>
  <si>
    <t>Tgl</t>
  </si>
  <si>
    <t>1.</t>
  </si>
  <si>
    <t>URUSAN PEMERINTAHAN WAJIB YANG BERKAITAN DENGAN PELAYANAN DASAR</t>
  </si>
  <si>
    <t>1.06</t>
  </si>
  <si>
    <t xml:space="preserve">URUSAN PEMERINTAHAN BIDANG SOSIAL </t>
  </si>
  <si>
    <t>1.06.01</t>
  </si>
  <si>
    <t>Program Penunjang Urusan Pemerintahan Daerah Kabupaten/Kota</t>
  </si>
  <si>
    <t>Perencanaan, Penganggaran, dan Evaluasi Kinerja Perangkat Daerah</t>
  </si>
  <si>
    <t>Penyusunan Dokumen Perencanaan Perangkat Daerah</t>
  </si>
  <si>
    <t>Evaluasi Kinerja Perangkat Daerah</t>
  </si>
  <si>
    <t>Administrasi Keuangan Perangkat Daerah</t>
  </si>
  <si>
    <t>Penyediaan Gaji dan Tunjangan ASN</t>
  </si>
  <si>
    <t>Administrasi Umum Perangkat Daerah</t>
  </si>
  <si>
    <t>Penyediaan Komponen Instalasi Listrik/Penerangan Bangunan Kantor</t>
  </si>
  <si>
    <t>Penyediaan Peralatan dan Perlengkapan Kantor</t>
  </si>
  <si>
    <t>Penyediaan Barang Cetakan dan Penggandaan</t>
  </si>
  <si>
    <t>Penyediaan Bahan Bacaan dan Peraturan Perundang-undangan</t>
  </si>
  <si>
    <t>Penyelenggaraan Rapat Koordinasi dan Konsultasi SKPD</t>
  </si>
  <si>
    <t>Pengadaan Barang Milik Daerah Penunjang Urusan Pemerintah Daerah</t>
  </si>
  <si>
    <t>Pengadaan Mebel</t>
  </si>
  <si>
    <t>Pengadaan Peralatan dan Mesin Lainnya</t>
  </si>
  <si>
    <t>Pengadaan Gedung Kantor atau Bangunan Lainnya</t>
  </si>
  <si>
    <t>Penyediaan Jasa Penunjang Urusan Pemerintahan Daerah</t>
  </si>
  <si>
    <t>Penyediaan Jasa Surat Menyurat</t>
  </si>
  <si>
    <t>Penyediaan Jasa Komunikasi, Sumber Daya Air dan Listrik</t>
  </si>
  <si>
    <t>Penyediaan Jasa Pelayanan Umum Kantor</t>
  </si>
  <si>
    <t>Pemeliharaan Barang Milik Daerah Penunjang Urusan Pemerintahan Daerah</t>
  </si>
  <si>
    <t>Penyediaan Jasa Pemeliharaan, Biaya Pemeliharaan, Pajak dan Perizinan Kendaraan Dinas Operasional atau Lapangan</t>
  </si>
  <si>
    <t>Pemeliharaan Peralatan dan Mesin Lainnya</t>
  </si>
  <si>
    <t>Pemeliharaan/Rehabilitasi Gedung Kantor dan Bangunan Lainnya</t>
  </si>
  <si>
    <t>1.06.02</t>
  </si>
  <si>
    <t>Program Pemberdayaan Sosial</t>
  </si>
  <si>
    <t>Pemberdayaan Sosial Komunitas Adat Terpencil (KAT)</t>
  </si>
  <si>
    <t>Fasilitasi Pemberdayaan Sosial KAT</t>
  </si>
  <si>
    <t xml:space="preserve">Peningkatan Kapasitas dan Pendampingan KAT </t>
  </si>
  <si>
    <t xml:space="preserve">Pengembangan Potensi Sumber Kesejahteraan Sosial Daerah Kabupaten/Kota </t>
  </si>
  <si>
    <t>Peningkatan Kemampuan Potensi Pekerja Sosial Masyarakat Kewenangan
Kabupaten/Kota</t>
  </si>
  <si>
    <t xml:space="preserve">Peningkatan Kemampuan Potensi Tenaga Kesejahteraan Sosial Kecamatan
Kewenangan Kabupaten/Kota
</t>
  </si>
  <si>
    <t>Peningkatan Kemampuan Potensi Sumber Kesejahteraan Sosial Kelembagaan
Masyarakat Kewenangan Kabupaten/Kota</t>
  </si>
  <si>
    <t>Peningkatan Kemampuan Sumber Daya Manusia dan Penguatan Lembaga
Konsultasi Kesejahteraan Keluarga (LK3)</t>
  </si>
  <si>
    <t>1.06.04</t>
  </si>
  <si>
    <t xml:space="preserve">PROGRAM REHABILITASI SOSIAL </t>
  </si>
  <si>
    <t>Rehabilitasi Sosial Dasar Penyandang Disabilitas Terlantar, Anak Terlantar, Lanjut Usia Terlantar, serta
Gelandangan Pengemis di Luar Panti Sosial</t>
  </si>
  <si>
    <t>Penyediaan Permakanan</t>
  </si>
  <si>
    <t xml:space="preserve">Penyediaan Sandang </t>
  </si>
  <si>
    <t>Penyediaan Alat Bantu</t>
  </si>
  <si>
    <t xml:space="preserve">Pemberian Pelayanan Reunifikasi Keluarga </t>
  </si>
  <si>
    <t xml:space="preserve">Pemberian Bimbingan Fisik, Mental, Spiritual, dan Sosial </t>
  </si>
  <si>
    <t>Pemberian Bimbingan Sosial kepada Keluarga Penyandang Disabilitas Terlantar,
Anak Terlantar, Lanjut Usia Terlantar, serta Gelandangan Pengemis dan
Masyarakat</t>
  </si>
  <si>
    <t xml:space="preserve">Fasilitasi Pembuatan Nomor Induk Kependudukan, Akta Kelahiran, Surat Nikah,
dan Kartu Identitas Anak
</t>
  </si>
  <si>
    <t>Pemberian Layanan Data dan Pengaduan</t>
  </si>
  <si>
    <t xml:space="preserve">Pemberian Layanan Rujukan </t>
  </si>
  <si>
    <t xml:space="preserve">Rehabilitasi Sosial Penyandang Masalah Kesejahteraan Sosial (PMKS) Lainnya Bukan Korban HIV/AIDS dan NAPZA
di Luar Panti Sosial
</t>
  </si>
  <si>
    <t>1.06.05</t>
  </si>
  <si>
    <t xml:space="preserve">PROGRAM PERLINDUNGAN DAN JAMINAN SOSIAL </t>
  </si>
  <si>
    <t>Pengelolaan Data Fakir Miskin Cakupan Daerah Kabupaten/Kota</t>
  </si>
  <si>
    <t xml:space="preserve">Pendataan Fakir Miskin Cakupan Daerah Kabupaten/Kota </t>
  </si>
  <si>
    <t xml:space="preserve">Pengelolaan Data Fakir Miskin Cakupan Daerah Kabupaten/Kota </t>
  </si>
  <si>
    <t>Fasilitasi Bantuan Sosial Kesejahteraan Keluarga</t>
  </si>
  <si>
    <t>1.06.06</t>
  </si>
  <si>
    <t xml:space="preserve">PROGRAM PENANGANAN BENCANA </t>
  </si>
  <si>
    <t xml:space="preserve">Perlindungan Sosial Korban Bencana Alam dan Sosial Kabupaten/Kota </t>
  </si>
  <si>
    <t xml:space="preserve"> Penyediaan Makanan </t>
  </si>
  <si>
    <t>Penyediaan Sandang</t>
  </si>
  <si>
    <t>Penanganan Khusus bagi Kelompok Rentan</t>
  </si>
  <si>
    <t>Pelayanan Dukungan Psikososial</t>
  </si>
  <si>
    <t>1.06.07</t>
  </si>
  <si>
    <t>PROGRAM PENGELOLAAN TAMAN MAKAM PAHLAWAN</t>
  </si>
  <si>
    <t xml:space="preserve">Pemeliharaan Taman Makam Pahlawan Nasional Kabupaten/Kota </t>
  </si>
  <si>
    <t>URUSAN PEMERINTAHAN WAJIB YANG TIDAK BERKAITAN DENGAN PELAYANAN DASAR</t>
  </si>
  <si>
    <t>2.13</t>
  </si>
  <si>
    <t xml:space="preserve">URUSAN PEMERINTAHAN BIDANG PEMBERDAYAAN MASYARAKAT DAN DESA </t>
  </si>
  <si>
    <t>2.13.02</t>
  </si>
  <si>
    <t>PROGRAM PENATAAN DESA</t>
  </si>
  <si>
    <t xml:space="preserve">Penyelenggaraan Penataan Desa </t>
  </si>
  <si>
    <t xml:space="preserve"> Fasilitasi Sarana dan Prasarana Desa </t>
  </si>
  <si>
    <t>2.13.03</t>
  </si>
  <si>
    <t>PROGRAM PENINGKATAN KERJASAMA DESA</t>
  </si>
  <si>
    <t>Fasilitasi Kerja sama antar Desa</t>
  </si>
  <si>
    <t>Fasilitasi Kerja Sama Antar Desa dalam Kabupaten/Kota</t>
  </si>
  <si>
    <t xml:space="preserve">Fasilitasi Kerja Sama Antar Desa dengan Pihak Ketiga dalam Kabupaten/Kota </t>
  </si>
  <si>
    <t xml:space="preserve">Fasilitasi Pembangunan Kawasan Perdesaan </t>
  </si>
  <si>
    <t>2.13.04</t>
  </si>
  <si>
    <t>PROGRAM ADMINISTRASI PEMERINTAHAN DESA</t>
  </si>
  <si>
    <t>Pembinaan dan Pengawasan Penyelenggaraan Administrasi Pemerintahan Desa</t>
  </si>
  <si>
    <t xml:space="preserve">Fasilitasi Penyelenggaraan Administrasi Pemerintahan Desa </t>
  </si>
  <si>
    <t xml:space="preserve">Fasilitasi Penyusunan Produk Hukum Desa </t>
  </si>
  <si>
    <t>Fasilitasi Penyusunan Perencanaan Pembangunan Desa</t>
  </si>
  <si>
    <t xml:space="preserve">Fasilitasi Pengelolaan Keuangan Desa </t>
  </si>
  <si>
    <t xml:space="preserve">Pembinaan Peningkatan Kapasitas Aparatur Pemerintah Desa </t>
  </si>
  <si>
    <t>Pembinaan dan Pemberdayaan BUM Desa dan Lembaga Kerja sama antar Desa</t>
  </si>
  <si>
    <t>Fasilitasi Pengangkatan dan Pemberhentian Kepala Desa</t>
  </si>
  <si>
    <t xml:space="preserve"> Fasilitasi Manajemen Pemerintahan Desa</t>
  </si>
  <si>
    <t>Fasilitasi Pengelolaan Aset Desa</t>
  </si>
  <si>
    <t>Pembinaan Peningkatan Kapasitas Anggota BPD</t>
  </si>
  <si>
    <t xml:space="preserve">Fasilitasi Penetapan dan Penegasan Batas Desa </t>
  </si>
  <si>
    <t>Fasilitasi Evaluasi Perkembangan Desa serta Lomba Desa dan Kelurahan</t>
  </si>
  <si>
    <t>2.13.05</t>
  </si>
  <si>
    <t>PROGRAM PEMBERDAYAAN LEMBAGA KEMASYARAKATAN, LEMBAGA ADAT DAN MASYARAKAT HUKUM ADAT</t>
  </si>
  <si>
    <t>Pemberdayaan Lembaga Kemasyarakatan yang Bergerak di Bidang Pemberdayaan Desa dan Lembaga Adat
Tingkat Daerah Kabupaten/Kota serta Pemberdayaan Masyarakat Hukum Adat yang Masyarakat Pelakunya
Hukum Adat yang Sama dalam Daerah Kabupaten/Kota</t>
  </si>
  <si>
    <t>Fasilitasi Penataan, Pemberdayaan dan Pendayagunaan Kelembagaan Lembaga
Kemasyarakatan Desa/Kelurahan (RT, RW, PKK, Posyandu, LPM, dan Karang
Taruna), Lembaga Adat Desa/Kelurahan dan Masyarakat Hukum Adat</t>
  </si>
  <si>
    <t>Peningkatan Kapasitas Kelembagaan Lembaga
Kemasyarakatan Desa/Kelurahan (RT, RW, PKK, Posyandu, LPM, dan Karang
Taruna), Lembaga Adat Desa/Kelurahan dan Masyarakat Hukum Adat</t>
  </si>
  <si>
    <t>Fasilitasi Pengembangan Usaha Ekonomi Masyarakat dan Pemerintah Desa
dalam Meningkatkan Pendapatan Asli Desa</t>
  </si>
  <si>
    <t xml:space="preserve">Fasilitasi Pemerintah Desa dalam Pemanfaatan Teknologi Tepat Guna </t>
  </si>
  <si>
    <t>Fasilitasi Tim Penggerak PKK dalam Penyelenggaraan Gerakan Pemberdayaan
Masyarakat dan Kesejahteraan Keluarga</t>
  </si>
  <si>
    <t>JUMLAH</t>
  </si>
  <si>
    <t>KEPALA DINAS SOSIAL, PEMBERDAYAAN</t>
  </si>
  <si>
    <t>MASYARAKAT DAN DESA</t>
  </si>
  <si>
    <t>Dra. HARTI, M.M</t>
  </si>
  <si>
    <t>NIP. 197112271991012001</t>
  </si>
  <si>
    <t>: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</si>
</sst>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_);_(@_)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0"/>
      <name val="Arial"/>
      <charset val="1"/>
    </font>
    <font>
      <sz val="10"/>
      <name val="Arial"/>
      <charset val="1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quotePrefix="1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right" vertical="top" wrapText="1" shrinkToFit="1"/>
    </xf>
    <xf numFmtId="165" fontId="5" fillId="0" borderId="4" xfId="0" applyNumberFormat="1" applyFont="1" applyFill="1" applyBorder="1" applyAlignment="1">
      <alignment horizontal="right" vertical="top" wrapText="1" shrinkToFit="1"/>
    </xf>
    <xf numFmtId="166" fontId="6" fillId="0" borderId="4" xfId="0" applyNumberFormat="1" applyFont="1" applyBorder="1" applyAlignment="1">
      <alignment horizontal="right" vertical="top"/>
    </xf>
    <xf numFmtId="167" fontId="2" fillId="0" borderId="4" xfId="1" applyNumberFormat="1" applyFont="1" applyBorder="1" applyAlignment="1">
      <alignment horizontal="left" vertical="top" wrapText="1"/>
    </xf>
    <xf numFmtId="167" fontId="6" fillId="0" borderId="4" xfId="0" applyNumberFormat="1" applyFont="1" applyBorder="1" applyAlignment="1">
      <alignment horizontal="right" vertical="top"/>
    </xf>
    <xf numFmtId="41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 wrapText="1" shrinkToFit="1"/>
    </xf>
    <xf numFmtId="165" fontId="5" fillId="2" borderId="4" xfId="0" applyNumberFormat="1" applyFont="1" applyFill="1" applyBorder="1" applyAlignment="1">
      <alignment horizontal="right" vertical="top" wrapText="1" shrinkToFit="1"/>
    </xf>
    <xf numFmtId="167" fontId="2" fillId="2" borderId="4" xfId="1" applyNumberFormat="1" applyFont="1" applyFill="1" applyBorder="1" applyAlignment="1">
      <alignment horizontal="left" vertical="top" wrapText="1"/>
    </xf>
    <xf numFmtId="167" fontId="6" fillId="2" borderId="4" xfId="0" applyNumberFormat="1" applyFont="1" applyFill="1" applyBorder="1" applyAlignment="1">
      <alignment horizontal="right" vertical="top"/>
    </xf>
    <xf numFmtId="41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165" fontId="5" fillId="0" borderId="4" xfId="0" applyNumberFormat="1" applyFont="1" applyFill="1" applyBorder="1" applyAlignment="1">
      <alignment horizontal="right" wrapText="1" shrinkToFit="1"/>
    </xf>
    <xf numFmtId="166" fontId="7" fillId="0" borderId="4" xfId="0" applyNumberFormat="1" applyFont="1" applyBorder="1" applyAlignment="1">
      <alignment horizontal="right"/>
    </xf>
    <xf numFmtId="167" fontId="3" fillId="0" borderId="4" xfId="1" applyNumberFormat="1" applyFont="1" applyFill="1" applyBorder="1" applyAlignment="1">
      <alignment horizontal="left" vertical="top" wrapText="1"/>
    </xf>
    <xf numFmtId="167" fontId="3" fillId="0" borderId="4" xfId="1" applyNumberFormat="1" applyFont="1" applyBorder="1" applyAlignment="1">
      <alignment horizontal="left" vertical="top" wrapText="1"/>
    </xf>
    <xf numFmtId="167" fontId="7" fillId="0" borderId="4" xfId="0" applyNumberFormat="1" applyFont="1" applyBorder="1" applyAlignment="1">
      <alignment horizontal="right" vertical="top"/>
    </xf>
    <xf numFmtId="41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right" vertical="top" wrapText="1" shrinkToFit="1"/>
    </xf>
    <xf numFmtId="165" fontId="8" fillId="0" borderId="4" xfId="0" applyNumberFormat="1" applyFont="1" applyFill="1" applyBorder="1" applyAlignment="1">
      <alignment horizontal="right" vertical="top" wrapText="1" shrinkToFit="1"/>
    </xf>
    <xf numFmtId="166" fontId="7" fillId="0" borderId="4" xfId="0" applyNumberFormat="1" applyFont="1" applyBorder="1" applyAlignment="1">
      <alignment horizontal="right" vertical="top"/>
    </xf>
    <xf numFmtId="166" fontId="6" fillId="2" borderId="4" xfId="0" applyNumberFormat="1" applyFont="1" applyFill="1" applyBorder="1" applyAlignment="1">
      <alignment horizontal="right" vertical="top"/>
    </xf>
    <xf numFmtId="167" fontId="3" fillId="2" borderId="4" xfId="1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166" fontId="7" fillId="2" borderId="4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167" fontId="7" fillId="0" borderId="4" xfId="0" applyNumberFormat="1" applyFont="1" applyBorder="1" applyAlignment="1">
      <alignment horizontal="left" vertical="top"/>
    </xf>
    <xf numFmtId="0" fontId="7" fillId="0" borderId="4" xfId="0" quotePrefix="1" applyNumberFormat="1" applyFont="1" applyBorder="1" applyAlignment="1">
      <alignment horizontal="left" vertical="top" wrapText="1"/>
    </xf>
    <xf numFmtId="167" fontId="7" fillId="0" borderId="4" xfId="0" applyNumberFormat="1" applyFont="1" applyBorder="1" applyAlignment="1">
      <alignment horizontal="left" vertical="top" wrapText="1"/>
    </xf>
    <xf numFmtId="167" fontId="7" fillId="0" borderId="4" xfId="0" quotePrefix="1" applyNumberFormat="1" applyFont="1" applyBorder="1" applyAlignment="1">
      <alignment horizontal="left" vertical="top" wrapText="1"/>
    </xf>
    <xf numFmtId="164" fontId="8" fillId="0" borderId="4" xfId="0" applyNumberFormat="1" applyFont="1" applyFill="1" applyBorder="1" applyAlignment="1">
      <alignment horizontal="right" vertical="center" wrapText="1" shrinkToFit="1"/>
    </xf>
    <xf numFmtId="164" fontId="5" fillId="0" borderId="4" xfId="0" applyNumberFormat="1" applyFont="1" applyFill="1" applyBorder="1" applyAlignment="1">
      <alignment horizontal="right" vertical="center" wrapText="1" shrinkToFit="1"/>
    </xf>
    <xf numFmtId="167" fontId="7" fillId="2" borderId="4" xfId="0" applyNumberFormat="1" applyFont="1" applyFill="1" applyBorder="1" applyAlignment="1">
      <alignment horizontal="right" vertical="top"/>
    </xf>
    <xf numFmtId="41" fontId="3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0" borderId="4" xfId="0" quotePrefix="1" applyFont="1" applyBorder="1" applyAlignment="1">
      <alignment horizontal="center" vertical="top" wrapText="1"/>
    </xf>
    <xf numFmtId="41" fontId="2" fillId="0" borderId="0" xfId="0" applyNumberFormat="1" applyFont="1"/>
    <xf numFmtId="0" fontId="2" fillId="0" borderId="0" xfId="0" applyFont="1"/>
    <xf numFmtId="0" fontId="2" fillId="0" borderId="4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/>
    </xf>
    <xf numFmtId="41" fontId="2" fillId="2" borderId="0" xfId="0" applyNumberFormat="1" applyFont="1" applyFill="1"/>
    <xf numFmtId="0" fontId="2" fillId="2" borderId="0" xfId="0" applyFont="1" applyFill="1"/>
    <xf numFmtId="0" fontId="3" fillId="0" borderId="4" xfId="0" applyFont="1" applyBorder="1" applyAlignment="1">
      <alignment horizontal="center" vertical="top"/>
    </xf>
    <xf numFmtId="41" fontId="3" fillId="0" borderId="0" xfId="0" applyNumberFormat="1" applyFont="1"/>
    <xf numFmtId="0" fontId="2" fillId="0" borderId="4" xfId="0" applyFont="1" applyBorder="1" applyAlignment="1">
      <alignment horizontal="center" vertical="top"/>
    </xf>
    <xf numFmtId="41" fontId="3" fillId="2" borderId="0" xfId="0" applyNumberFormat="1" applyFont="1" applyFill="1"/>
    <xf numFmtId="0" fontId="3" fillId="2" borderId="0" xfId="0" applyFont="1" applyFill="1"/>
    <xf numFmtId="0" fontId="2" fillId="0" borderId="4" xfId="0" applyFont="1" applyBorder="1"/>
    <xf numFmtId="0" fontId="5" fillId="0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/>
    </xf>
    <xf numFmtId="167" fontId="2" fillId="0" borderId="4" xfId="0" applyNumberFormat="1" applyFont="1" applyBorder="1"/>
    <xf numFmtId="0" fontId="3" fillId="0" borderId="0" xfId="0" applyFont="1" applyBorder="1"/>
    <xf numFmtId="16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tabSelected="1" zoomScaleNormal="100" workbookViewId="0">
      <selection activeCell="L105" sqref="L105"/>
    </sheetView>
  </sheetViews>
  <sheetFormatPr defaultRowHeight="17.100000000000001" customHeight="1" x14ac:dyDescent="0.2"/>
  <cols>
    <col min="1" max="1" width="7.140625" style="2" customWidth="1"/>
    <col min="2" max="2" width="43.28515625" style="84" customWidth="1"/>
    <col min="3" max="3" width="14.7109375" style="2" customWidth="1"/>
    <col min="4" max="4" width="16.7109375" style="2" hidden="1" customWidth="1"/>
    <col min="5" max="5" width="17.5703125" style="2" hidden="1" customWidth="1"/>
    <col min="6" max="6" width="14.5703125" style="2" hidden="1" customWidth="1"/>
    <col min="7" max="8" width="10.7109375" style="2" hidden="1" customWidth="1"/>
    <col min="9" max="9" width="14.7109375" style="2" customWidth="1"/>
    <col min="10" max="10" width="7.7109375" style="2" customWidth="1"/>
    <col min="11" max="11" width="9" style="2" customWidth="1"/>
    <col min="12" max="12" width="22" style="2" customWidth="1"/>
    <col min="13" max="13" width="9.42578125" style="2" customWidth="1"/>
    <col min="14" max="14" width="14.7109375" style="2" customWidth="1"/>
    <col min="15" max="15" width="12.7109375" style="2" customWidth="1"/>
    <col min="16" max="16" width="12.5703125" style="2" customWidth="1"/>
    <col min="17" max="17" width="14.7109375" style="2" customWidth="1"/>
    <col min="18" max="18" width="12.7109375" style="2" customWidth="1"/>
    <col min="19" max="19" width="10.7109375" style="2" customWidth="1"/>
    <col min="20" max="20" width="17.7109375" style="2" customWidth="1"/>
    <col min="21" max="22" width="15.7109375" style="2" customWidth="1"/>
    <col min="23" max="16384" width="9.140625" style="2"/>
  </cols>
  <sheetData>
    <row r="1" spans="1:22" ht="17.10000000000000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17.10000000000000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ht="17.100000000000001" customHeight="1" x14ac:dyDescent="0.2">
      <c r="B3" s="3"/>
      <c r="C3" s="3"/>
      <c r="D3" s="3"/>
      <c r="E3" s="3"/>
      <c r="F3" s="3"/>
      <c r="G3" s="3"/>
      <c r="H3" s="3"/>
    </row>
    <row r="4" spans="1:22" ht="17.100000000000001" customHeight="1" x14ac:dyDescent="0.2">
      <c r="A4" s="4" t="s">
        <v>2</v>
      </c>
      <c r="B4" s="5" t="s">
        <v>3</v>
      </c>
      <c r="C4" s="3"/>
      <c r="D4" s="3"/>
      <c r="E4" s="3"/>
      <c r="F4" s="3"/>
      <c r="G4" s="3"/>
      <c r="H4" s="3"/>
    </row>
    <row r="5" spans="1:22" ht="17.100000000000001" customHeight="1" x14ac:dyDescent="0.2">
      <c r="A5" s="4" t="s">
        <v>4</v>
      </c>
      <c r="B5" s="6" t="s">
        <v>133</v>
      </c>
      <c r="C5" s="3"/>
      <c r="D5" s="3"/>
      <c r="E5" s="3"/>
      <c r="F5" s="3"/>
      <c r="G5" s="3"/>
      <c r="H5" s="3"/>
    </row>
    <row r="6" spans="1:22" ht="7.5" customHeight="1" x14ac:dyDescent="0.2">
      <c r="B6" s="3"/>
      <c r="C6" s="3"/>
      <c r="D6" s="3"/>
      <c r="E6" s="3"/>
      <c r="F6" s="3"/>
      <c r="G6" s="3"/>
      <c r="H6" s="3"/>
    </row>
    <row r="7" spans="1:22" ht="37.5" customHeight="1" x14ac:dyDescent="0.2">
      <c r="A7" s="7" t="s">
        <v>5</v>
      </c>
      <c r="B7" s="8" t="s">
        <v>6</v>
      </c>
      <c r="C7" s="9" t="s">
        <v>7</v>
      </c>
      <c r="D7" s="10" t="s">
        <v>8</v>
      </c>
      <c r="E7" s="10" t="s">
        <v>9</v>
      </c>
      <c r="F7" s="10" t="s">
        <v>10</v>
      </c>
      <c r="G7" s="11" t="s">
        <v>11</v>
      </c>
      <c r="H7" s="12"/>
      <c r="I7" s="11" t="s">
        <v>12</v>
      </c>
      <c r="J7" s="12"/>
      <c r="K7" s="13" t="s">
        <v>13</v>
      </c>
      <c r="L7" s="11" t="s">
        <v>14</v>
      </c>
      <c r="M7" s="14"/>
      <c r="N7" s="12"/>
      <c r="O7" s="10" t="s">
        <v>15</v>
      </c>
      <c r="P7" s="10"/>
      <c r="Q7" s="10"/>
      <c r="R7" s="11" t="s">
        <v>16</v>
      </c>
      <c r="S7" s="12"/>
      <c r="T7" s="7" t="s">
        <v>17</v>
      </c>
    </row>
    <row r="8" spans="1:22" ht="35.25" customHeight="1" x14ac:dyDescent="0.2">
      <c r="A8" s="15"/>
      <c r="B8" s="16"/>
      <c r="C8" s="17" t="s">
        <v>18</v>
      </c>
      <c r="D8" s="10"/>
      <c r="E8" s="10"/>
      <c r="F8" s="10"/>
      <c r="G8" s="13" t="s">
        <v>19</v>
      </c>
      <c r="H8" s="13" t="s">
        <v>20</v>
      </c>
      <c r="I8" s="13" t="s">
        <v>21</v>
      </c>
      <c r="J8" s="13" t="s">
        <v>22</v>
      </c>
      <c r="K8" s="13" t="s">
        <v>22</v>
      </c>
      <c r="L8" s="18" t="s">
        <v>5</v>
      </c>
      <c r="M8" s="18" t="s">
        <v>23</v>
      </c>
      <c r="N8" s="18" t="s">
        <v>21</v>
      </c>
      <c r="O8" s="18" t="s">
        <v>5</v>
      </c>
      <c r="P8" s="18" t="s">
        <v>23</v>
      </c>
      <c r="Q8" s="18" t="s">
        <v>21</v>
      </c>
      <c r="R8" s="18" t="s">
        <v>5</v>
      </c>
      <c r="S8" s="18" t="s">
        <v>23</v>
      </c>
      <c r="T8" s="15"/>
    </row>
    <row r="9" spans="1:22" ht="13.5" customHeight="1" x14ac:dyDescent="0.2">
      <c r="A9" s="19">
        <v>1</v>
      </c>
      <c r="B9" s="20">
        <v>2</v>
      </c>
      <c r="C9" s="21">
        <v>3</v>
      </c>
      <c r="D9" s="21">
        <v>5</v>
      </c>
      <c r="E9" s="21">
        <v>6</v>
      </c>
      <c r="F9" s="21">
        <v>7</v>
      </c>
      <c r="G9" s="21">
        <v>8</v>
      </c>
      <c r="H9" s="21">
        <v>9</v>
      </c>
      <c r="I9" s="21">
        <v>10</v>
      </c>
      <c r="J9" s="21">
        <v>11</v>
      </c>
      <c r="K9" s="19">
        <v>12</v>
      </c>
      <c r="L9" s="19">
        <v>13</v>
      </c>
      <c r="M9" s="19">
        <v>14</v>
      </c>
      <c r="N9" s="19">
        <v>15</v>
      </c>
      <c r="O9" s="19">
        <v>16</v>
      </c>
      <c r="P9" s="19">
        <v>17</v>
      </c>
      <c r="Q9" s="19">
        <v>18</v>
      </c>
      <c r="R9" s="19">
        <v>19</v>
      </c>
      <c r="S9" s="19">
        <v>20</v>
      </c>
      <c r="T9" s="19">
        <v>21</v>
      </c>
    </row>
    <row r="10" spans="1:22" s="30" customFormat="1" ht="29.25" customHeight="1" x14ac:dyDescent="0.2">
      <c r="A10" s="22" t="s">
        <v>24</v>
      </c>
      <c r="B10" s="23" t="s">
        <v>25</v>
      </c>
      <c r="C10" s="24">
        <f t="shared" ref="C10:I10" si="0">C11</f>
        <v>12868174982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7792765513</v>
      </c>
      <c r="J10" s="25">
        <f>I10/C10*100</f>
        <v>60.558436016766315</v>
      </c>
      <c r="K10" s="26">
        <f>J10</f>
        <v>60.558436016766315</v>
      </c>
      <c r="L10" s="27"/>
      <c r="M10" s="27"/>
      <c r="N10" s="24">
        <f>I10</f>
        <v>7792765513</v>
      </c>
      <c r="O10" s="27"/>
      <c r="P10" s="27"/>
      <c r="Q10" s="28">
        <f>SUM(Q11:Q23)</f>
        <v>0</v>
      </c>
      <c r="R10" s="27"/>
      <c r="S10" s="27"/>
      <c r="T10" s="27"/>
      <c r="U10" s="29"/>
    </row>
    <row r="11" spans="1:22" s="30" customFormat="1" ht="17.100000000000001" customHeight="1" x14ac:dyDescent="0.2">
      <c r="A11" s="22" t="s">
        <v>26</v>
      </c>
      <c r="B11" s="23" t="s">
        <v>27</v>
      </c>
      <c r="C11" s="24">
        <f t="shared" ref="C11:H11" si="1">C12+C36+C45+C58+C63+C69</f>
        <v>12868174982</v>
      </c>
      <c r="D11" s="24">
        <f t="shared" si="1"/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>I12+I36+I45+I58+I63+I69</f>
        <v>7792765513</v>
      </c>
      <c r="J11" s="25">
        <f t="shared" ref="J11:J83" si="2">I11/C11*100</f>
        <v>60.558436016766315</v>
      </c>
      <c r="K11" s="24">
        <f>J11</f>
        <v>60.558436016766315</v>
      </c>
      <c r="L11" s="27"/>
      <c r="M11" s="27"/>
      <c r="N11" s="24">
        <f t="shared" ref="N11:N83" si="3">I11</f>
        <v>7792765513</v>
      </c>
      <c r="O11" s="27"/>
      <c r="P11" s="27"/>
      <c r="Q11" s="28">
        <v>0</v>
      </c>
      <c r="R11" s="27"/>
      <c r="S11" s="27"/>
      <c r="T11" s="27"/>
      <c r="U11" s="29"/>
    </row>
    <row r="12" spans="1:22" s="38" customFormat="1" ht="25.5" customHeight="1" x14ac:dyDescent="0.2">
      <c r="A12" s="31" t="s">
        <v>28</v>
      </c>
      <c r="B12" s="32" t="s">
        <v>29</v>
      </c>
      <c r="C12" s="33">
        <f>C16+C18+C28+C32+C24+C13</f>
        <v>4234716982</v>
      </c>
      <c r="D12" s="33">
        <f t="shared" ref="D12:H12" si="4">D16+D18+D28+D32</f>
        <v>0</v>
      </c>
      <c r="E12" s="33">
        <f t="shared" si="4"/>
        <v>0</v>
      </c>
      <c r="F12" s="33">
        <f t="shared" si="4"/>
        <v>0</v>
      </c>
      <c r="G12" s="33">
        <f t="shared" si="4"/>
        <v>0</v>
      </c>
      <c r="H12" s="33">
        <f t="shared" si="4"/>
        <v>0</v>
      </c>
      <c r="I12" s="33">
        <f>I16+I18+I28+I32+I24+I13</f>
        <v>1819916662</v>
      </c>
      <c r="J12" s="34">
        <f t="shared" si="2"/>
        <v>42.976110794079034</v>
      </c>
      <c r="K12" s="33">
        <f>J12</f>
        <v>42.976110794079034</v>
      </c>
      <c r="L12" s="35"/>
      <c r="M12" s="35"/>
      <c r="N12" s="33">
        <f t="shared" si="3"/>
        <v>1819916662</v>
      </c>
      <c r="O12" s="35"/>
      <c r="P12" s="35"/>
      <c r="Q12" s="36">
        <v>0</v>
      </c>
      <c r="R12" s="35"/>
      <c r="S12" s="35"/>
      <c r="T12" s="35"/>
      <c r="U12" s="37"/>
    </row>
    <row r="13" spans="1:22" s="47" customFormat="1" ht="30" customHeight="1" x14ac:dyDescent="0.2">
      <c r="A13" s="39"/>
      <c r="B13" s="23" t="s">
        <v>30</v>
      </c>
      <c r="C13" s="24">
        <f>C14+C15</f>
        <v>10000000</v>
      </c>
      <c r="D13" s="24">
        <f t="shared" ref="D13:H13" si="5">D14+D15</f>
        <v>0</v>
      </c>
      <c r="E13" s="24">
        <f t="shared" si="5"/>
        <v>0</v>
      </c>
      <c r="F13" s="24">
        <f t="shared" si="5"/>
        <v>0</v>
      </c>
      <c r="G13" s="24">
        <f t="shared" si="5"/>
        <v>0</v>
      </c>
      <c r="H13" s="24">
        <f t="shared" si="5"/>
        <v>0</v>
      </c>
      <c r="I13" s="24">
        <f>I14+I15</f>
        <v>2120000</v>
      </c>
      <c r="J13" s="40">
        <f>I13/C13*100</f>
        <v>21.2</v>
      </c>
      <c r="K13" s="41">
        <f t="shared" ref="K13:K15" si="6">J13</f>
        <v>21.2</v>
      </c>
      <c r="L13" s="42"/>
      <c r="M13" s="43"/>
      <c r="N13" s="24">
        <f t="shared" si="3"/>
        <v>2120000</v>
      </c>
      <c r="O13" s="43"/>
      <c r="P13" s="43"/>
      <c r="Q13" s="44">
        <v>0</v>
      </c>
      <c r="R13" s="43"/>
      <c r="S13" s="43"/>
      <c r="T13" s="43"/>
      <c r="U13" s="45"/>
      <c r="V13" s="46"/>
    </row>
    <row r="14" spans="1:22" s="47" customFormat="1" ht="27.75" customHeight="1" x14ac:dyDescent="0.2">
      <c r="A14" s="39"/>
      <c r="B14" s="48" t="s">
        <v>31</v>
      </c>
      <c r="C14" s="49">
        <v>5000000</v>
      </c>
      <c r="D14" s="44"/>
      <c r="E14" s="44"/>
      <c r="F14" s="44"/>
      <c r="G14" s="44"/>
      <c r="H14" s="44"/>
      <c r="I14" s="49"/>
      <c r="J14" s="50">
        <f t="shared" ref="J14:J15" si="7">I14/C14*100</f>
        <v>0</v>
      </c>
      <c r="K14" s="51">
        <f t="shared" si="6"/>
        <v>0</v>
      </c>
      <c r="L14" s="42"/>
      <c r="M14" s="43"/>
      <c r="N14" s="24">
        <f t="shared" si="3"/>
        <v>0</v>
      </c>
      <c r="O14" s="43"/>
      <c r="P14" s="43"/>
      <c r="Q14" s="44">
        <v>0</v>
      </c>
      <c r="R14" s="43"/>
      <c r="S14" s="43"/>
      <c r="T14" s="43"/>
      <c r="U14" s="45"/>
      <c r="V14" s="46"/>
    </row>
    <row r="15" spans="1:22" s="47" customFormat="1" ht="17.100000000000001" customHeight="1" x14ac:dyDescent="0.2">
      <c r="A15" s="39"/>
      <c r="B15" s="48" t="s">
        <v>32</v>
      </c>
      <c r="C15" s="49">
        <v>5000000</v>
      </c>
      <c r="D15" s="44"/>
      <c r="E15" s="44"/>
      <c r="F15" s="44"/>
      <c r="G15" s="44"/>
      <c r="H15" s="44"/>
      <c r="I15" s="49">
        <v>2120000</v>
      </c>
      <c r="J15" s="50">
        <f t="shared" si="7"/>
        <v>42.4</v>
      </c>
      <c r="K15" s="51">
        <f t="shared" si="6"/>
        <v>42.4</v>
      </c>
      <c r="L15" s="42"/>
      <c r="M15" s="43"/>
      <c r="N15" s="24">
        <f t="shared" si="3"/>
        <v>2120000</v>
      </c>
      <c r="O15" s="43"/>
      <c r="P15" s="43"/>
      <c r="Q15" s="44">
        <v>0</v>
      </c>
      <c r="R15" s="43"/>
      <c r="S15" s="43"/>
      <c r="T15" s="43"/>
      <c r="U15" s="45"/>
      <c r="V15" s="46"/>
    </row>
    <row r="16" spans="1:22" s="47" customFormat="1" ht="17.100000000000001" customHeight="1" x14ac:dyDescent="0.2">
      <c r="A16" s="39"/>
      <c r="B16" s="23" t="s">
        <v>33</v>
      </c>
      <c r="C16" s="24">
        <f t="shared" ref="C16:I16" si="8">C17</f>
        <v>3471972502</v>
      </c>
      <c r="D16" s="24">
        <f t="shared" si="8"/>
        <v>0</v>
      </c>
      <c r="E16" s="24">
        <f t="shared" si="8"/>
        <v>0</v>
      </c>
      <c r="F16" s="24">
        <f t="shared" si="8"/>
        <v>0</v>
      </c>
      <c r="G16" s="24">
        <f t="shared" si="8"/>
        <v>0</v>
      </c>
      <c r="H16" s="24">
        <f t="shared" si="8"/>
        <v>0</v>
      </c>
      <c r="I16" s="24">
        <f t="shared" si="8"/>
        <v>1510841200</v>
      </c>
      <c r="J16" s="25">
        <f t="shared" si="2"/>
        <v>43.515356159350134</v>
      </c>
      <c r="K16" s="51">
        <f>J16</f>
        <v>43.515356159350134</v>
      </c>
      <c r="L16" s="43"/>
      <c r="M16" s="43"/>
      <c r="N16" s="24">
        <f t="shared" si="3"/>
        <v>1510841200</v>
      </c>
      <c r="O16" s="43"/>
      <c r="P16" s="43"/>
      <c r="Q16" s="44">
        <v>0</v>
      </c>
      <c r="R16" s="43"/>
      <c r="S16" s="43"/>
      <c r="T16" s="43"/>
      <c r="U16" s="45"/>
      <c r="V16" s="46"/>
    </row>
    <row r="17" spans="1:22" s="47" customFormat="1" ht="17.100000000000001" customHeight="1" x14ac:dyDescent="0.2">
      <c r="A17" s="39"/>
      <c r="B17" s="48" t="s">
        <v>34</v>
      </c>
      <c r="C17" s="49">
        <v>3471972502</v>
      </c>
      <c r="D17" s="44"/>
      <c r="E17" s="44"/>
      <c r="F17" s="44"/>
      <c r="G17" s="44"/>
      <c r="H17" s="44"/>
      <c r="I17" s="49">
        <f>115449255+111071975+111340559+202002494+112866642+99253957+113165500+49626978+112866642+102503753+113315777+101812319+114691800+50873549</f>
        <v>1510841200</v>
      </c>
      <c r="J17" s="25">
        <f t="shared" si="2"/>
        <v>43.515356159350134</v>
      </c>
      <c r="K17" s="51">
        <f>J17</f>
        <v>43.515356159350134</v>
      </c>
      <c r="L17" s="42"/>
      <c r="M17" s="43"/>
      <c r="N17" s="24">
        <f t="shared" si="3"/>
        <v>1510841200</v>
      </c>
      <c r="O17" s="43"/>
      <c r="P17" s="43"/>
      <c r="Q17" s="44">
        <v>0</v>
      </c>
      <c r="R17" s="43"/>
      <c r="S17" s="43"/>
      <c r="T17" s="43"/>
      <c r="U17" s="45"/>
      <c r="V17" s="46"/>
    </row>
    <row r="18" spans="1:22" s="47" customFormat="1" ht="17.100000000000001" customHeight="1" x14ac:dyDescent="0.2">
      <c r="A18" s="39"/>
      <c r="B18" s="23" t="s">
        <v>35</v>
      </c>
      <c r="C18" s="24">
        <f>SUM(C19:C23)</f>
        <v>259000000</v>
      </c>
      <c r="D18" s="24">
        <f t="shared" ref="D18:H18" si="9">SUM(D19:D23)</f>
        <v>0</v>
      </c>
      <c r="E18" s="24">
        <f t="shared" si="9"/>
        <v>0</v>
      </c>
      <c r="F18" s="24">
        <f t="shared" si="9"/>
        <v>0</v>
      </c>
      <c r="G18" s="24">
        <f t="shared" si="9"/>
        <v>0</v>
      </c>
      <c r="H18" s="24">
        <f t="shared" si="9"/>
        <v>0</v>
      </c>
      <c r="I18" s="24">
        <f>SUM(I19:I23)</f>
        <v>115293009</v>
      </c>
      <c r="J18" s="25">
        <f t="shared" si="2"/>
        <v>44.514675289575287</v>
      </c>
      <c r="K18" s="51">
        <f t="shared" ref="K18:K88" si="10">J18</f>
        <v>44.514675289575287</v>
      </c>
      <c r="L18" s="42"/>
      <c r="M18" s="43"/>
      <c r="N18" s="24">
        <f t="shared" si="3"/>
        <v>115293009</v>
      </c>
      <c r="O18" s="43"/>
      <c r="P18" s="43"/>
      <c r="Q18" s="44">
        <v>0</v>
      </c>
      <c r="R18" s="43"/>
      <c r="S18" s="43"/>
      <c r="T18" s="43"/>
      <c r="U18" s="45"/>
      <c r="V18" s="46"/>
    </row>
    <row r="19" spans="1:22" s="47" customFormat="1" ht="27.75" customHeight="1" x14ac:dyDescent="0.2">
      <c r="A19" s="39"/>
      <c r="B19" s="48" t="s">
        <v>36</v>
      </c>
      <c r="C19" s="49">
        <v>10000000</v>
      </c>
      <c r="D19" s="44"/>
      <c r="E19" s="44"/>
      <c r="F19" s="44"/>
      <c r="G19" s="44"/>
      <c r="H19" s="44"/>
      <c r="I19" s="49">
        <f>1239081+1831720+1871395</f>
        <v>4942196</v>
      </c>
      <c r="J19" s="50">
        <f t="shared" si="2"/>
        <v>49.421959999999999</v>
      </c>
      <c r="K19" s="51">
        <f t="shared" si="10"/>
        <v>49.421959999999999</v>
      </c>
      <c r="L19" s="42"/>
      <c r="M19" s="43"/>
      <c r="N19" s="24">
        <f t="shared" si="3"/>
        <v>4942196</v>
      </c>
      <c r="O19" s="43"/>
      <c r="P19" s="43"/>
      <c r="Q19" s="44">
        <v>0</v>
      </c>
      <c r="R19" s="43"/>
      <c r="S19" s="43"/>
      <c r="T19" s="43"/>
      <c r="U19" s="45"/>
      <c r="V19" s="46"/>
    </row>
    <row r="20" spans="1:22" s="47" customFormat="1" ht="17.100000000000001" customHeight="1" x14ac:dyDescent="0.2">
      <c r="A20" s="39"/>
      <c r="B20" s="48" t="s">
        <v>37</v>
      </c>
      <c r="C20" s="49">
        <v>40000000</v>
      </c>
      <c r="D20" s="44"/>
      <c r="E20" s="44"/>
      <c r="F20" s="44"/>
      <c r="G20" s="44"/>
      <c r="H20" s="44"/>
      <c r="I20" s="49">
        <f>6652360+4081605+6262960</f>
        <v>16996925</v>
      </c>
      <c r="J20" s="50">
        <f t="shared" si="2"/>
        <v>42.492312500000004</v>
      </c>
      <c r="K20" s="51">
        <f t="shared" si="10"/>
        <v>42.492312500000004</v>
      </c>
      <c r="L20" s="42"/>
      <c r="M20" s="43"/>
      <c r="N20" s="24">
        <f t="shared" si="3"/>
        <v>16996925</v>
      </c>
      <c r="O20" s="43"/>
      <c r="P20" s="43"/>
      <c r="Q20" s="44">
        <v>0</v>
      </c>
      <c r="R20" s="43"/>
      <c r="S20" s="43"/>
      <c r="T20" s="43"/>
      <c r="U20" s="45"/>
      <c r="V20" s="46"/>
    </row>
    <row r="21" spans="1:22" s="47" customFormat="1" ht="18" customHeight="1" x14ac:dyDescent="0.2">
      <c r="A21" s="39"/>
      <c r="B21" s="48" t="s">
        <v>38</v>
      </c>
      <c r="C21" s="49">
        <v>27500000</v>
      </c>
      <c r="D21" s="44"/>
      <c r="E21" s="44"/>
      <c r="F21" s="44"/>
      <c r="G21" s="44"/>
      <c r="H21" s="44"/>
      <c r="I21" s="49">
        <f>3629450+3135830+2224580</f>
        <v>8989860</v>
      </c>
      <c r="J21" s="50">
        <f t="shared" si="2"/>
        <v>32.690399999999997</v>
      </c>
      <c r="K21" s="51">
        <f t="shared" si="10"/>
        <v>32.690399999999997</v>
      </c>
      <c r="L21" s="42"/>
      <c r="M21" s="43"/>
      <c r="N21" s="24">
        <f t="shared" si="3"/>
        <v>8989860</v>
      </c>
      <c r="O21" s="43"/>
      <c r="P21" s="43"/>
      <c r="Q21" s="44">
        <v>0</v>
      </c>
      <c r="R21" s="43"/>
      <c r="S21" s="43"/>
      <c r="T21" s="43"/>
      <c r="U21" s="45"/>
      <c r="V21" s="46"/>
    </row>
    <row r="22" spans="1:22" s="47" customFormat="1" ht="27.75" customHeight="1" x14ac:dyDescent="0.2">
      <c r="A22" s="39"/>
      <c r="B22" s="48" t="s">
        <v>39</v>
      </c>
      <c r="C22" s="49">
        <v>4000000</v>
      </c>
      <c r="D22" s="44"/>
      <c r="E22" s="44"/>
      <c r="F22" s="44"/>
      <c r="G22" s="44"/>
      <c r="H22" s="44"/>
      <c r="I22" s="49">
        <v>990000</v>
      </c>
      <c r="J22" s="50">
        <f t="shared" si="2"/>
        <v>24.75</v>
      </c>
      <c r="K22" s="51">
        <f t="shared" si="10"/>
        <v>24.75</v>
      </c>
      <c r="L22" s="42"/>
      <c r="M22" s="43"/>
      <c r="N22" s="24">
        <f t="shared" si="3"/>
        <v>990000</v>
      </c>
      <c r="O22" s="43"/>
      <c r="P22" s="43"/>
      <c r="Q22" s="44">
        <v>0</v>
      </c>
      <c r="R22" s="43"/>
      <c r="S22" s="43"/>
      <c r="T22" s="43"/>
      <c r="U22" s="45"/>
      <c r="V22" s="46"/>
    </row>
    <row r="23" spans="1:22" s="47" customFormat="1" ht="25.5" customHeight="1" x14ac:dyDescent="0.2">
      <c r="A23" s="39"/>
      <c r="B23" s="48" t="s">
        <v>40</v>
      </c>
      <c r="C23" s="49">
        <v>177500000</v>
      </c>
      <c r="D23" s="44"/>
      <c r="E23" s="44"/>
      <c r="F23" s="44"/>
      <c r="G23" s="44"/>
      <c r="H23" s="44"/>
      <c r="I23" s="49">
        <f>19709028+13960000+11280000+36305000+2120000</f>
        <v>83374028</v>
      </c>
      <c r="J23" s="50">
        <f t="shared" si="2"/>
        <v>46.97128338028169</v>
      </c>
      <c r="K23" s="51">
        <f t="shared" si="10"/>
        <v>46.97128338028169</v>
      </c>
      <c r="L23" s="42"/>
      <c r="M23" s="43"/>
      <c r="N23" s="24">
        <f t="shared" si="3"/>
        <v>83374028</v>
      </c>
      <c r="O23" s="43"/>
      <c r="P23" s="43"/>
      <c r="Q23" s="44">
        <v>0</v>
      </c>
      <c r="R23" s="43"/>
      <c r="S23" s="43"/>
      <c r="T23" s="43"/>
      <c r="U23" s="45"/>
      <c r="V23" s="46"/>
    </row>
    <row r="24" spans="1:22" s="47" customFormat="1" ht="25.5" customHeight="1" x14ac:dyDescent="0.2">
      <c r="A24" s="39"/>
      <c r="B24" s="23" t="s">
        <v>41</v>
      </c>
      <c r="C24" s="24">
        <f>SUM(C25:C27)</f>
        <v>60000000</v>
      </c>
      <c r="D24" s="24">
        <f t="shared" ref="D24:H24" si="11">SUM(D25:D27)</f>
        <v>0</v>
      </c>
      <c r="E24" s="24">
        <f t="shared" si="11"/>
        <v>0</v>
      </c>
      <c r="F24" s="24">
        <f t="shared" si="11"/>
        <v>0</v>
      </c>
      <c r="G24" s="24">
        <f t="shared" si="11"/>
        <v>0</v>
      </c>
      <c r="H24" s="24">
        <f t="shared" si="11"/>
        <v>0</v>
      </c>
      <c r="I24" s="24">
        <f>SUM(I25:I27)</f>
        <v>0</v>
      </c>
      <c r="J24" s="25">
        <f t="shared" si="2"/>
        <v>0</v>
      </c>
      <c r="K24" s="51">
        <f t="shared" si="10"/>
        <v>0</v>
      </c>
      <c r="L24" s="42"/>
      <c r="M24" s="43"/>
      <c r="N24" s="24">
        <f t="shared" si="3"/>
        <v>0</v>
      </c>
      <c r="O24" s="43"/>
      <c r="P24" s="43"/>
      <c r="Q24" s="44"/>
      <c r="R24" s="43"/>
      <c r="S24" s="43"/>
      <c r="T24" s="43"/>
      <c r="U24" s="45"/>
      <c r="V24" s="46"/>
    </row>
    <row r="25" spans="1:22" s="47" customFormat="1" ht="25.5" customHeight="1" x14ac:dyDescent="0.2">
      <c r="A25" s="39"/>
      <c r="B25" s="48" t="s">
        <v>42</v>
      </c>
      <c r="C25" s="49">
        <v>30000000</v>
      </c>
      <c r="D25" s="44"/>
      <c r="E25" s="44"/>
      <c r="F25" s="44"/>
      <c r="G25" s="44"/>
      <c r="H25" s="44"/>
      <c r="I25" s="49"/>
      <c r="J25" s="50">
        <f t="shared" si="2"/>
        <v>0</v>
      </c>
      <c r="K25" s="51">
        <f t="shared" si="10"/>
        <v>0</v>
      </c>
      <c r="L25" s="42"/>
      <c r="M25" s="43"/>
      <c r="N25" s="24"/>
      <c r="O25" s="43"/>
      <c r="P25" s="43"/>
      <c r="Q25" s="44"/>
      <c r="R25" s="43"/>
      <c r="S25" s="43"/>
      <c r="T25" s="43"/>
      <c r="U25" s="45"/>
      <c r="V25" s="46"/>
    </row>
    <row r="26" spans="1:22" s="47" customFormat="1" ht="25.5" customHeight="1" x14ac:dyDescent="0.2">
      <c r="A26" s="39"/>
      <c r="B26" s="48" t="s">
        <v>43</v>
      </c>
      <c r="C26" s="49">
        <v>30000000</v>
      </c>
      <c r="D26" s="44"/>
      <c r="E26" s="44"/>
      <c r="F26" s="44"/>
      <c r="G26" s="44"/>
      <c r="H26" s="44"/>
      <c r="I26" s="49"/>
      <c r="J26" s="50">
        <f t="shared" si="2"/>
        <v>0</v>
      </c>
      <c r="K26" s="51">
        <f t="shared" si="10"/>
        <v>0</v>
      </c>
      <c r="L26" s="42"/>
      <c r="M26" s="43"/>
      <c r="N26" s="24"/>
      <c r="O26" s="43"/>
      <c r="P26" s="43"/>
      <c r="Q26" s="44"/>
      <c r="R26" s="43"/>
      <c r="S26" s="43"/>
      <c r="T26" s="43"/>
      <c r="U26" s="45"/>
      <c r="V26" s="46"/>
    </row>
    <row r="27" spans="1:22" s="47" customFormat="1" ht="25.5" customHeight="1" x14ac:dyDescent="0.2">
      <c r="A27" s="39"/>
      <c r="B27" s="48" t="s">
        <v>44</v>
      </c>
      <c r="C27" s="49">
        <v>0</v>
      </c>
      <c r="D27" s="44"/>
      <c r="E27" s="44"/>
      <c r="F27" s="44"/>
      <c r="G27" s="44"/>
      <c r="H27" s="44"/>
      <c r="I27" s="49"/>
      <c r="J27" s="50">
        <v>0</v>
      </c>
      <c r="K27" s="51">
        <f t="shared" si="10"/>
        <v>0</v>
      </c>
      <c r="L27" s="42"/>
      <c r="M27" s="43"/>
      <c r="N27" s="24"/>
      <c r="O27" s="43"/>
      <c r="P27" s="43"/>
      <c r="Q27" s="44"/>
      <c r="R27" s="43"/>
      <c r="S27" s="43"/>
      <c r="T27" s="43"/>
      <c r="U27" s="45"/>
      <c r="V27" s="46"/>
    </row>
    <row r="28" spans="1:22" s="30" customFormat="1" ht="26.25" customHeight="1" x14ac:dyDescent="0.2">
      <c r="A28" s="22"/>
      <c r="B28" s="23" t="s">
        <v>45</v>
      </c>
      <c r="C28" s="24">
        <f>SUM(C29:C31)</f>
        <v>290744480</v>
      </c>
      <c r="D28" s="24">
        <f t="shared" ref="D28:H28" si="12">SUM(D29:D31)</f>
        <v>0</v>
      </c>
      <c r="E28" s="24">
        <f t="shared" si="12"/>
        <v>0</v>
      </c>
      <c r="F28" s="24">
        <f t="shared" si="12"/>
        <v>0</v>
      </c>
      <c r="G28" s="24">
        <f t="shared" si="12"/>
        <v>0</v>
      </c>
      <c r="H28" s="24">
        <f t="shared" si="12"/>
        <v>0</v>
      </c>
      <c r="I28" s="24">
        <f>SUM(I29:I31)</f>
        <v>123940210</v>
      </c>
      <c r="J28" s="25">
        <f t="shared" si="2"/>
        <v>42.628568563021382</v>
      </c>
      <c r="K28" s="51">
        <f t="shared" si="10"/>
        <v>42.628568563021382</v>
      </c>
      <c r="L28" s="42"/>
      <c r="M28" s="27"/>
      <c r="N28" s="24">
        <f t="shared" si="3"/>
        <v>123940210</v>
      </c>
      <c r="O28" s="27"/>
      <c r="P28" s="27"/>
      <c r="Q28" s="28">
        <f>SUM(Q29:Q33)</f>
        <v>0</v>
      </c>
      <c r="R28" s="27"/>
      <c r="S28" s="27"/>
      <c r="T28" s="27"/>
      <c r="U28" s="29"/>
      <c r="V28" s="46"/>
    </row>
    <row r="29" spans="1:22" s="47" customFormat="1" ht="17.100000000000001" customHeight="1" x14ac:dyDescent="0.2">
      <c r="A29" s="39"/>
      <c r="B29" s="48" t="s">
        <v>46</v>
      </c>
      <c r="C29" s="49">
        <v>4500000</v>
      </c>
      <c r="D29" s="44"/>
      <c r="E29" s="44"/>
      <c r="F29" s="44"/>
      <c r="G29" s="44"/>
      <c r="H29" s="44"/>
      <c r="I29" s="49">
        <v>500000</v>
      </c>
      <c r="J29" s="50">
        <f t="shared" si="2"/>
        <v>11.111111111111111</v>
      </c>
      <c r="K29" s="51">
        <f t="shared" si="10"/>
        <v>11.111111111111111</v>
      </c>
      <c r="L29" s="42"/>
      <c r="M29" s="43"/>
      <c r="N29" s="24">
        <f t="shared" si="3"/>
        <v>500000</v>
      </c>
      <c r="O29" s="43"/>
      <c r="P29" s="43"/>
      <c r="Q29" s="44">
        <v>0</v>
      </c>
      <c r="R29" s="43"/>
      <c r="S29" s="43"/>
      <c r="T29" s="43"/>
      <c r="U29" s="45"/>
      <c r="V29" s="46"/>
    </row>
    <row r="30" spans="1:22" s="47" customFormat="1" ht="25.5" customHeight="1" x14ac:dyDescent="0.2">
      <c r="A30" s="39"/>
      <c r="B30" s="48" t="s">
        <v>47</v>
      </c>
      <c r="C30" s="49">
        <v>30000000</v>
      </c>
      <c r="D30" s="44"/>
      <c r="E30" s="44"/>
      <c r="F30" s="44"/>
      <c r="G30" s="44"/>
      <c r="H30" s="44"/>
      <c r="I30" s="49">
        <f>4412063+2235179+1949418+2183350</f>
        <v>10780010</v>
      </c>
      <c r="J30" s="50">
        <f t="shared" si="2"/>
        <v>35.933366666666664</v>
      </c>
      <c r="K30" s="51">
        <f t="shared" si="10"/>
        <v>35.933366666666664</v>
      </c>
      <c r="L30" s="42"/>
      <c r="M30" s="43"/>
      <c r="N30" s="24">
        <f t="shared" si="3"/>
        <v>10780010</v>
      </c>
      <c r="O30" s="43"/>
      <c r="P30" s="43"/>
      <c r="Q30" s="44">
        <v>0</v>
      </c>
      <c r="R30" s="43"/>
      <c r="S30" s="43"/>
      <c r="T30" s="43"/>
      <c r="U30" s="45"/>
      <c r="V30" s="46"/>
    </row>
    <row r="31" spans="1:22" s="47" customFormat="1" ht="16.5" customHeight="1" x14ac:dyDescent="0.2">
      <c r="A31" s="39"/>
      <c r="B31" s="48" t="s">
        <v>48</v>
      </c>
      <c r="C31" s="49">
        <v>256244480</v>
      </c>
      <c r="D31" s="44"/>
      <c r="E31" s="44"/>
      <c r="F31" s="44"/>
      <c r="G31" s="44"/>
      <c r="H31" s="44"/>
      <c r="I31" s="49">
        <f>41590100+20056700+30956700+20056700</f>
        <v>112660200</v>
      </c>
      <c r="J31" s="50">
        <f t="shared" si="2"/>
        <v>43.965903187455979</v>
      </c>
      <c r="K31" s="51">
        <f t="shared" si="10"/>
        <v>43.965903187455979</v>
      </c>
      <c r="L31" s="42"/>
      <c r="M31" s="43"/>
      <c r="N31" s="24">
        <f t="shared" si="3"/>
        <v>112660200</v>
      </c>
      <c r="O31" s="43"/>
      <c r="P31" s="43"/>
      <c r="Q31" s="44">
        <v>0</v>
      </c>
      <c r="R31" s="43"/>
      <c r="S31" s="43"/>
      <c r="T31" s="43"/>
      <c r="U31" s="45"/>
      <c r="V31" s="46"/>
    </row>
    <row r="32" spans="1:22" s="47" customFormat="1" ht="26.25" customHeight="1" x14ac:dyDescent="0.2">
      <c r="A32" s="39"/>
      <c r="B32" s="23" t="s">
        <v>49</v>
      </c>
      <c r="C32" s="24">
        <f>SUM(C33:C35)</f>
        <v>143000000</v>
      </c>
      <c r="D32" s="24">
        <f t="shared" ref="D32:H32" si="13">SUM(D33:D35)</f>
        <v>0</v>
      </c>
      <c r="E32" s="24">
        <f t="shared" si="13"/>
        <v>0</v>
      </c>
      <c r="F32" s="24">
        <f t="shared" si="13"/>
        <v>0</v>
      </c>
      <c r="G32" s="24">
        <f t="shared" si="13"/>
        <v>0</v>
      </c>
      <c r="H32" s="24">
        <f t="shared" si="13"/>
        <v>0</v>
      </c>
      <c r="I32" s="24">
        <f>SUM(I33:I35)</f>
        <v>67722243</v>
      </c>
      <c r="J32" s="25">
        <f t="shared" si="2"/>
        <v>47.358211888111889</v>
      </c>
      <c r="K32" s="51">
        <f t="shared" si="10"/>
        <v>47.358211888111889</v>
      </c>
      <c r="L32" s="42"/>
      <c r="M32" s="43"/>
      <c r="N32" s="24">
        <f t="shared" si="3"/>
        <v>67722243</v>
      </c>
      <c r="O32" s="43"/>
      <c r="P32" s="43"/>
      <c r="Q32" s="44">
        <v>0</v>
      </c>
      <c r="R32" s="43"/>
      <c r="S32" s="43"/>
      <c r="T32" s="43"/>
      <c r="U32" s="45"/>
      <c r="V32" s="46"/>
    </row>
    <row r="33" spans="1:22" s="47" customFormat="1" ht="40.5" customHeight="1" x14ac:dyDescent="0.2">
      <c r="A33" s="39"/>
      <c r="B33" s="48" t="s">
        <v>50</v>
      </c>
      <c r="C33" s="49">
        <v>80000000</v>
      </c>
      <c r="D33" s="44"/>
      <c r="E33" s="44"/>
      <c r="F33" s="44"/>
      <c r="G33" s="44"/>
      <c r="H33" s="44"/>
      <c r="I33" s="49">
        <f>1600000+10528000+9800000+8515000</f>
        <v>30443000</v>
      </c>
      <c r="J33" s="50">
        <f t="shared" si="2"/>
        <v>38.053749999999994</v>
      </c>
      <c r="K33" s="51">
        <f t="shared" si="10"/>
        <v>38.053749999999994</v>
      </c>
      <c r="L33" s="42"/>
      <c r="M33" s="43"/>
      <c r="N33" s="24">
        <f t="shared" si="3"/>
        <v>30443000</v>
      </c>
      <c r="O33" s="43"/>
      <c r="P33" s="43"/>
      <c r="Q33" s="44">
        <v>0</v>
      </c>
      <c r="R33" s="43"/>
      <c r="S33" s="43"/>
      <c r="T33" s="43"/>
      <c r="U33" s="45"/>
      <c r="V33" s="46"/>
    </row>
    <row r="34" spans="1:22" s="30" customFormat="1" ht="18.75" customHeight="1" x14ac:dyDescent="0.2">
      <c r="A34" s="22"/>
      <c r="B34" s="48" t="s">
        <v>51</v>
      </c>
      <c r="C34" s="49">
        <v>8000000</v>
      </c>
      <c r="D34" s="28"/>
      <c r="E34" s="28"/>
      <c r="F34" s="28"/>
      <c r="G34" s="28"/>
      <c r="H34" s="28"/>
      <c r="I34" s="49">
        <f>315000+1502000</f>
        <v>1817000</v>
      </c>
      <c r="J34" s="50">
        <f t="shared" si="2"/>
        <v>22.712499999999999</v>
      </c>
      <c r="K34" s="51">
        <f t="shared" si="10"/>
        <v>22.712499999999999</v>
      </c>
      <c r="L34" s="42"/>
      <c r="M34" s="27"/>
      <c r="N34" s="24">
        <f t="shared" si="3"/>
        <v>1817000</v>
      </c>
      <c r="O34" s="27"/>
      <c r="P34" s="27"/>
      <c r="Q34" s="28">
        <f>SUM(Q35:Q38)</f>
        <v>0</v>
      </c>
      <c r="R34" s="27"/>
      <c r="S34" s="27"/>
      <c r="T34" s="27"/>
      <c r="U34" s="29"/>
      <c r="V34" s="46"/>
    </row>
    <row r="35" spans="1:22" s="47" customFormat="1" ht="27.75" customHeight="1" x14ac:dyDescent="0.2">
      <c r="A35" s="39"/>
      <c r="B35" s="48" t="s">
        <v>52</v>
      </c>
      <c r="C35" s="49">
        <v>55000000</v>
      </c>
      <c r="D35" s="44"/>
      <c r="E35" s="44"/>
      <c r="F35" s="44"/>
      <c r="G35" s="44"/>
      <c r="H35" s="44"/>
      <c r="I35" s="49">
        <f>2421343+21170400+11870500</f>
        <v>35462243</v>
      </c>
      <c r="J35" s="50">
        <f t="shared" si="2"/>
        <v>64.476805454545456</v>
      </c>
      <c r="K35" s="51">
        <f t="shared" si="10"/>
        <v>64.476805454545456</v>
      </c>
      <c r="L35" s="42"/>
      <c r="M35" s="43"/>
      <c r="N35" s="24">
        <f t="shared" si="3"/>
        <v>35462243</v>
      </c>
      <c r="O35" s="43"/>
      <c r="P35" s="43"/>
      <c r="Q35" s="44">
        <v>0</v>
      </c>
      <c r="R35" s="43"/>
      <c r="S35" s="43"/>
      <c r="T35" s="43"/>
      <c r="U35" s="45"/>
      <c r="V35" s="46"/>
    </row>
    <row r="36" spans="1:22" s="38" customFormat="1" ht="19.5" customHeight="1" x14ac:dyDescent="0.2">
      <c r="A36" s="31" t="s">
        <v>53</v>
      </c>
      <c r="B36" s="32" t="s">
        <v>54</v>
      </c>
      <c r="C36" s="33">
        <f>C37+C40</f>
        <v>1001570200</v>
      </c>
      <c r="D36" s="33">
        <f t="shared" ref="D36:H36" si="14">D37+D40</f>
        <v>0</v>
      </c>
      <c r="E36" s="33">
        <f t="shared" si="14"/>
        <v>0</v>
      </c>
      <c r="F36" s="33">
        <f t="shared" si="14"/>
        <v>0</v>
      </c>
      <c r="G36" s="33">
        <f t="shared" si="14"/>
        <v>0</v>
      </c>
      <c r="H36" s="33">
        <f t="shared" si="14"/>
        <v>0</v>
      </c>
      <c r="I36" s="33">
        <f>I37+I40</f>
        <v>234937810</v>
      </c>
      <c r="J36" s="34">
        <f t="shared" si="2"/>
        <v>23.456948898839041</v>
      </c>
      <c r="K36" s="52">
        <f t="shared" si="10"/>
        <v>23.456948898839041</v>
      </c>
      <c r="L36" s="53"/>
      <c r="M36" s="35"/>
      <c r="N36" s="33">
        <f t="shared" si="3"/>
        <v>234937810</v>
      </c>
      <c r="O36" s="35"/>
      <c r="P36" s="35"/>
      <c r="Q36" s="36">
        <v>0</v>
      </c>
      <c r="R36" s="35"/>
      <c r="S36" s="35"/>
      <c r="T36" s="35"/>
      <c r="U36" s="37"/>
      <c r="V36" s="46"/>
    </row>
    <row r="37" spans="1:22" s="47" customFormat="1" ht="27" customHeight="1" x14ac:dyDescent="0.2">
      <c r="A37" s="39"/>
      <c r="B37" s="23" t="s">
        <v>55</v>
      </c>
      <c r="C37" s="24">
        <f>SUM(C38:C39)</f>
        <v>321570200</v>
      </c>
      <c r="D37" s="24">
        <f t="shared" ref="D37:H37" si="15">SUM(D38:D39)</f>
        <v>0</v>
      </c>
      <c r="E37" s="24">
        <f t="shared" si="15"/>
        <v>0</v>
      </c>
      <c r="F37" s="24">
        <f t="shared" si="15"/>
        <v>0</v>
      </c>
      <c r="G37" s="24">
        <f t="shared" si="15"/>
        <v>0</v>
      </c>
      <c r="H37" s="24">
        <f t="shared" si="15"/>
        <v>0</v>
      </c>
      <c r="I37" s="24">
        <f>SUM(I38:I39)</f>
        <v>44497280</v>
      </c>
      <c r="J37" s="25">
        <f t="shared" si="2"/>
        <v>13.837501111732367</v>
      </c>
      <c r="K37" s="51">
        <f t="shared" si="10"/>
        <v>13.837501111732367</v>
      </c>
      <c r="L37" s="42"/>
      <c r="M37" s="43"/>
      <c r="N37" s="24">
        <f t="shared" si="3"/>
        <v>44497280</v>
      </c>
      <c r="O37" s="43"/>
      <c r="P37" s="43"/>
      <c r="Q37" s="44">
        <v>0</v>
      </c>
      <c r="R37" s="43"/>
      <c r="S37" s="43"/>
      <c r="T37" s="43"/>
      <c r="U37" s="45"/>
      <c r="V37" s="46"/>
    </row>
    <row r="38" spans="1:22" s="47" customFormat="1" ht="17.100000000000001" customHeight="1" x14ac:dyDescent="0.2">
      <c r="A38" s="39"/>
      <c r="B38" s="48" t="s">
        <v>56</v>
      </c>
      <c r="C38" s="49">
        <v>271570200</v>
      </c>
      <c r="D38" s="44"/>
      <c r="E38" s="44"/>
      <c r="F38" s="44"/>
      <c r="G38" s="44"/>
      <c r="H38" s="44"/>
      <c r="I38" s="49">
        <f>6861080+17287080+4711080+2600000+5720000+7318040</f>
        <v>44497280</v>
      </c>
      <c r="J38" s="50">
        <f t="shared" si="2"/>
        <v>16.385185119722266</v>
      </c>
      <c r="K38" s="51">
        <f t="shared" si="10"/>
        <v>16.385185119722266</v>
      </c>
      <c r="L38" s="42"/>
      <c r="M38" s="43"/>
      <c r="N38" s="24">
        <f t="shared" si="3"/>
        <v>44497280</v>
      </c>
      <c r="O38" s="43"/>
      <c r="P38" s="43"/>
      <c r="Q38" s="44">
        <v>0</v>
      </c>
      <c r="R38" s="43"/>
      <c r="S38" s="43"/>
      <c r="T38" s="43"/>
      <c r="U38" s="45"/>
      <c r="V38" s="46"/>
    </row>
    <row r="39" spans="1:22" s="30" customFormat="1" ht="15.75" customHeight="1" x14ac:dyDescent="0.2">
      <c r="A39" s="22"/>
      <c r="B39" s="48" t="s">
        <v>57</v>
      </c>
      <c r="C39" s="49">
        <v>50000000</v>
      </c>
      <c r="D39" s="28"/>
      <c r="E39" s="28"/>
      <c r="F39" s="28"/>
      <c r="G39" s="28"/>
      <c r="H39" s="28"/>
      <c r="I39" s="49"/>
      <c r="J39" s="50">
        <f t="shared" si="2"/>
        <v>0</v>
      </c>
      <c r="K39" s="51">
        <f t="shared" si="10"/>
        <v>0</v>
      </c>
      <c r="L39" s="42"/>
      <c r="M39" s="27"/>
      <c r="N39" s="24">
        <f t="shared" si="3"/>
        <v>0</v>
      </c>
      <c r="O39" s="27"/>
      <c r="P39" s="27"/>
      <c r="Q39" s="28">
        <f>SUM(Q40:Q46)</f>
        <v>0</v>
      </c>
      <c r="R39" s="27"/>
      <c r="S39" s="27"/>
      <c r="T39" s="27"/>
      <c r="U39" s="29"/>
      <c r="V39" s="46"/>
    </row>
    <row r="40" spans="1:22" s="47" customFormat="1" ht="27" customHeight="1" x14ac:dyDescent="0.2">
      <c r="A40" s="39"/>
      <c r="B40" s="23" t="s">
        <v>58</v>
      </c>
      <c r="C40" s="24">
        <f>SUM(C41:C44)</f>
        <v>680000000</v>
      </c>
      <c r="D40" s="24">
        <f t="shared" ref="D40:H40" si="16">SUM(D41:D44)</f>
        <v>0</v>
      </c>
      <c r="E40" s="24">
        <f t="shared" si="16"/>
        <v>0</v>
      </c>
      <c r="F40" s="24">
        <f t="shared" si="16"/>
        <v>0</v>
      </c>
      <c r="G40" s="24">
        <f t="shared" si="16"/>
        <v>0</v>
      </c>
      <c r="H40" s="24">
        <f t="shared" si="16"/>
        <v>0</v>
      </c>
      <c r="I40" s="24">
        <f>SUM(I41:I44)</f>
        <v>190440530</v>
      </c>
      <c r="J40" s="25">
        <f t="shared" si="2"/>
        <v>28.005960294117649</v>
      </c>
      <c r="K40" s="51">
        <f t="shared" si="10"/>
        <v>28.005960294117649</v>
      </c>
      <c r="L40" s="42"/>
      <c r="M40" s="43"/>
      <c r="N40" s="24">
        <f t="shared" si="3"/>
        <v>190440530</v>
      </c>
      <c r="O40" s="43"/>
      <c r="P40" s="43"/>
      <c r="Q40" s="44">
        <v>0</v>
      </c>
      <c r="R40" s="43"/>
      <c r="S40" s="43"/>
      <c r="T40" s="43"/>
      <c r="U40" s="45"/>
      <c r="V40" s="46"/>
    </row>
    <row r="41" spans="1:22" s="47" customFormat="1" ht="26.25" customHeight="1" x14ac:dyDescent="0.2">
      <c r="A41" s="39"/>
      <c r="B41" s="48" t="s">
        <v>59</v>
      </c>
      <c r="C41" s="49">
        <v>150000000</v>
      </c>
      <c r="D41" s="44"/>
      <c r="E41" s="44"/>
      <c r="F41" s="44"/>
      <c r="G41" s="44"/>
      <c r="H41" s="44"/>
      <c r="I41" s="49">
        <f>8586080+27066080+2600000+4758040</f>
        <v>43010200</v>
      </c>
      <c r="J41" s="50">
        <f t="shared" si="2"/>
        <v>28.67346666666667</v>
      </c>
      <c r="K41" s="51">
        <f t="shared" si="10"/>
        <v>28.67346666666667</v>
      </c>
      <c r="L41" s="42"/>
      <c r="M41" s="43"/>
      <c r="N41" s="24">
        <f t="shared" si="3"/>
        <v>43010200</v>
      </c>
      <c r="O41" s="43"/>
      <c r="P41" s="43"/>
      <c r="Q41" s="44">
        <v>0</v>
      </c>
      <c r="R41" s="43"/>
      <c r="S41" s="43"/>
      <c r="T41" s="43"/>
      <c r="U41" s="45"/>
      <c r="V41" s="46"/>
    </row>
    <row r="42" spans="1:22" s="47" customFormat="1" ht="39.75" customHeight="1" x14ac:dyDescent="0.2">
      <c r="A42" s="39"/>
      <c r="B42" s="48" t="s">
        <v>60</v>
      </c>
      <c r="C42" s="49">
        <v>445000000</v>
      </c>
      <c r="D42" s="44"/>
      <c r="E42" s="44"/>
      <c r="F42" s="44"/>
      <c r="G42" s="44"/>
      <c r="H42" s="44"/>
      <c r="I42" s="49">
        <f>56000000+3430330+30000000+28000000+30000000</f>
        <v>147430330</v>
      </c>
      <c r="J42" s="50">
        <f t="shared" si="2"/>
        <v>33.130411235955052</v>
      </c>
      <c r="K42" s="51">
        <f t="shared" si="10"/>
        <v>33.130411235955052</v>
      </c>
      <c r="L42" s="42"/>
      <c r="M42" s="43"/>
      <c r="N42" s="24">
        <f t="shared" si="3"/>
        <v>147430330</v>
      </c>
      <c r="O42" s="43"/>
      <c r="P42" s="43"/>
      <c r="Q42" s="44">
        <v>0</v>
      </c>
      <c r="R42" s="43"/>
      <c r="S42" s="43"/>
      <c r="T42" s="43"/>
      <c r="U42" s="45"/>
      <c r="V42" s="46"/>
    </row>
    <row r="43" spans="1:22" s="47" customFormat="1" ht="41.25" customHeight="1" x14ac:dyDescent="0.2">
      <c r="A43" s="39"/>
      <c r="B43" s="48" t="s">
        <v>61</v>
      </c>
      <c r="C43" s="49">
        <v>75000000</v>
      </c>
      <c r="D43" s="44"/>
      <c r="E43" s="44"/>
      <c r="F43" s="44"/>
      <c r="G43" s="44"/>
      <c r="H43" s="44"/>
      <c r="I43" s="49"/>
      <c r="J43" s="50">
        <f t="shared" si="2"/>
        <v>0</v>
      </c>
      <c r="K43" s="51">
        <f t="shared" si="10"/>
        <v>0</v>
      </c>
      <c r="L43" s="42"/>
      <c r="M43" s="43"/>
      <c r="N43" s="24">
        <f t="shared" si="3"/>
        <v>0</v>
      </c>
      <c r="O43" s="43"/>
      <c r="P43" s="43"/>
      <c r="Q43" s="44">
        <v>0</v>
      </c>
      <c r="R43" s="43"/>
      <c r="S43" s="43"/>
      <c r="T43" s="43"/>
      <c r="U43" s="45"/>
      <c r="V43" s="46"/>
    </row>
    <row r="44" spans="1:22" s="47" customFormat="1" ht="39.75" customHeight="1" x14ac:dyDescent="0.2">
      <c r="A44" s="39"/>
      <c r="B44" s="48" t="s">
        <v>62</v>
      </c>
      <c r="C44" s="49">
        <v>10000000</v>
      </c>
      <c r="D44" s="44"/>
      <c r="E44" s="44"/>
      <c r="F44" s="44"/>
      <c r="G44" s="44"/>
      <c r="H44" s="44"/>
      <c r="I44" s="49"/>
      <c r="J44" s="25">
        <f t="shared" si="2"/>
        <v>0</v>
      </c>
      <c r="K44" s="51">
        <f t="shared" si="10"/>
        <v>0</v>
      </c>
      <c r="L44" s="43"/>
      <c r="M44" s="43"/>
      <c r="N44" s="24">
        <f t="shared" si="3"/>
        <v>0</v>
      </c>
      <c r="O44" s="43"/>
      <c r="P44" s="43"/>
      <c r="Q44" s="44">
        <v>0</v>
      </c>
      <c r="R44" s="43"/>
      <c r="S44" s="43"/>
      <c r="T44" s="43"/>
      <c r="U44" s="45"/>
      <c r="V44" s="46"/>
    </row>
    <row r="45" spans="1:22" s="38" customFormat="1" ht="28.5" customHeight="1" x14ac:dyDescent="0.2">
      <c r="A45" s="31" t="s">
        <v>63</v>
      </c>
      <c r="B45" s="54" t="s">
        <v>64</v>
      </c>
      <c r="C45" s="33">
        <f t="shared" ref="C45:H45" si="17">C46+C56</f>
        <v>1873830000</v>
      </c>
      <c r="D45" s="33">
        <f t="shared" si="17"/>
        <v>0</v>
      </c>
      <c r="E45" s="33">
        <f t="shared" si="17"/>
        <v>0</v>
      </c>
      <c r="F45" s="33">
        <f t="shared" si="17"/>
        <v>0</v>
      </c>
      <c r="G45" s="33">
        <f t="shared" si="17"/>
        <v>0</v>
      </c>
      <c r="H45" s="33">
        <f t="shared" si="17"/>
        <v>0</v>
      </c>
      <c r="I45" s="33">
        <f>I46+I56</f>
        <v>711751645</v>
      </c>
      <c r="J45" s="34">
        <f>I45/C45*100</f>
        <v>37.983789618054999</v>
      </c>
      <c r="K45" s="55">
        <f t="shared" si="10"/>
        <v>37.983789618054999</v>
      </c>
      <c r="L45" s="53"/>
      <c r="M45" s="35"/>
      <c r="N45" s="33">
        <f t="shared" si="3"/>
        <v>711751645</v>
      </c>
      <c r="O45" s="35"/>
      <c r="P45" s="35"/>
      <c r="Q45" s="36">
        <v>0</v>
      </c>
      <c r="R45" s="35"/>
      <c r="S45" s="35"/>
      <c r="T45" s="35"/>
      <c r="U45" s="37"/>
      <c r="V45" s="46"/>
    </row>
    <row r="46" spans="1:22" s="47" customFormat="1" ht="54" customHeight="1" x14ac:dyDescent="0.2">
      <c r="A46" s="39"/>
      <c r="B46" s="56" t="s">
        <v>65</v>
      </c>
      <c r="C46" s="24">
        <f>SUM(C47:C55)</f>
        <v>1712000000</v>
      </c>
      <c r="D46" s="24">
        <f t="shared" ref="D46:H46" si="18">SUM(D47:D55)</f>
        <v>0</v>
      </c>
      <c r="E46" s="24">
        <f t="shared" si="18"/>
        <v>0</v>
      </c>
      <c r="F46" s="24">
        <f t="shared" si="18"/>
        <v>0</v>
      </c>
      <c r="G46" s="24">
        <f t="shared" si="18"/>
        <v>0</v>
      </c>
      <c r="H46" s="24">
        <f t="shared" si="18"/>
        <v>0</v>
      </c>
      <c r="I46" s="24">
        <f>SUM(I47:I55)</f>
        <v>711751645</v>
      </c>
      <c r="J46" s="25">
        <f t="shared" si="2"/>
        <v>41.574278329439252</v>
      </c>
      <c r="K46" s="51">
        <f t="shared" si="10"/>
        <v>41.574278329439252</v>
      </c>
      <c r="L46" s="42"/>
      <c r="M46" s="43"/>
      <c r="N46" s="24">
        <f t="shared" si="3"/>
        <v>711751645</v>
      </c>
      <c r="O46" s="43"/>
      <c r="P46" s="43"/>
      <c r="Q46" s="44">
        <v>0</v>
      </c>
      <c r="R46" s="43"/>
      <c r="S46" s="43"/>
      <c r="T46" s="43"/>
      <c r="U46" s="45"/>
      <c r="V46" s="46"/>
    </row>
    <row r="47" spans="1:22" s="30" customFormat="1" ht="21" customHeight="1" x14ac:dyDescent="0.2">
      <c r="A47" s="22"/>
      <c r="B47" s="57" t="s">
        <v>66</v>
      </c>
      <c r="C47" s="49">
        <v>70000000</v>
      </c>
      <c r="D47" s="28"/>
      <c r="E47" s="28"/>
      <c r="F47" s="28"/>
      <c r="G47" s="28"/>
      <c r="H47" s="28"/>
      <c r="I47" s="49">
        <f>3800000+18700000</f>
        <v>22500000</v>
      </c>
      <c r="J47" s="50">
        <f t="shared" si="2"/>
        <v>32.142857142857146</v>
      </c>
      <c r="K47" s="51">
        <f t="shared" si="10"/>
        <v>32.142857142857146</v>
      </c>
      <c r="L47" s="42"/>
      <c r="M47" s="27"/>
      <c r="N47" s="24">
        <f t="shared" si="3"/>
        <v>22500000</v>
      </c>
      <c r="O47" s="27"/>
      <c r="P47" s="27"/>
      <c r="Q47" s="28">
        <f>SUM(Q48:Q57)</f>
        <v>0</v>
      </c>
      <c r="R47" s="27"/>
      <c r="S47" s="27"/>
      <c r="T47" s="27"/>
      <c r="U47" s="29"/>
      <c r="V47" s="46"/>
    </row>
    <row r="48" spans="1:22" s="30" customFormat="1" ht="19.5" customHeight="1" x14ac:dyDescent="0.2">
      <c r="A48" s="58"/>
      <c r="B48" s="48" t="s">
        <v>67</v>
      </c>
      <c r="C48" s="49">
        <v>15000000</v>
      </c>
      <c r="D48" s="28"/>
      <c r="E48" s="28"/>
      <c r="F48" s="28"/>
      <c r="G48" s="28"/>
      <c r="H48" s="28"/>
      <c r="I48" s="49">
        <v>9186850</v>
      </c>
      <c r="J48" s="50">
        <f t="shared" si="2"/>
        <v>61.245666666666665</v>
      </c>
      <c r="K48" s="51">
        <f t="shared" si="10"/>
        <v>61.245666666666665</v>
      </c>
      <c r="L48" s="42"/>
      <c r="M48" s="27"/>
      <c r="N48" s="24">
        <f t="shared" si="3"/>
        <v>9186850</v>
      </c>
      <c r="O48" s="27"/>
      <c r="P48" s="27"/>
      <c r="Q48" s="28">
        <v>0</v>
      </c>
      <c r="R48" s="27"/>
      <c r="S48" s="27"/>
      <c r="T48" s="27"/>
      <c r="U48" s="29"/>
      <c r="V48" s="46"/>
    </row>
    <row r="49" spans="1:22" s="47" customFormat="1" ht="22.5" customHeight="1" x14ac:dyDescent="0.2">
      <c r="A49" s="39"/>
      <c r="B49" s="57" t="s">
        <v>68</v>
      </c>
      <c r="C49" s="49">
        <v>150000000</v>
      </c>
      <c r="D49" s="44"/>
      <c r="E49" s="44"/>
      <c r="F49" s="44"/>
      <c r="G49" s="44"/>
      <c r="H49" s="44"/>
      <c r="I49" s="49"/>
      <c r="J49" s="50">
        <f t="shared" si="2"/>
        <v>0</v>
      </c>
      <c r="K49" s="51">
        <f t="shared" si="10"/>
        <v>0</v>
      </c>
      <c r="L49" s="42"/>
      <c r="M49" s="43"/>
      <c r="N49" s="24">
        <f t="shared" si="3"/>
        <v>0</v>
      </c>
      <c r="O49" s="43"/>
      <c r="P49" s="43"/>
      <c r="Q49" s="44">
        <v>0</v>
      </c>
      <c r="R49" s="43"/>
      <c r="S49" s="43"/>
      <c r="T49" s="43"/>
      <c r="U49" s="45"/>
      <c r="V49" s="46"/>
    </row>
    <row r="50" spans="1:22" s="47" customFormat="1" ht="18.75" customHeight="1" x14ac:dyDescent="0.2">
      <c r="A50" s="39"/>
      <c r="B50" s="48" t="s">
        <v>69</v>
      </c>
      <c r="C50" s="49">
        <v>35000000</v>
      </c>
      <c r="D50" s="59"/>
      <c r="E50" s="60"/>
      <c r="F50" s="44"/>
      <c r="G50" s="44"/>
      <c r="H50" s="44"/>
      <c r="I50" s="49">
        <v>1850440</v>
      </c>
      <c r="J50" s="50">
        <f t="shared" si="2"/>
        <v>5.2869714285714284</v>
      </c>
      <c r="K50" s="51">
        <f t="shared" si="10"/>
        <v>5.2869714285714284</v>
      </c>
      <c r="L50" s="42"/>
      <c r="M50" s="43"/>
      <c r="N50" s="24">
        <f t="shared" si="3"/>
        <v>1850440</v>
      </c>
      <c r="O50" s="43"/>
      <c r="P50" s="43"/>
      <c r="Q50" s="44">
        <v>0</v>
      </c>
      <c r="R50" s="43"/>
      <c r="S50" s="43"/>
      <c r="T50" s="43"/>
      <c r="U50" s="45"/>
      <c r="V50" s="46"/>
    </row>
    <row r="51" spans="1:22" s="47" customFormat="1" ht="34.5" customHeight="1" x14ac:dyDescent="0.2">
      <c r="A51" s="39"/>
      <c r="B51" s="48" t="s">
        <v>70</v>
      </c>
      <c r="C51" s="49">
        <v>175000000</v>
      </c>
      <c r="D51" s="44"/>
      <c r="E51" s="44"/>
      <c r="F51" s="44"/>
      <c r="G51" s="44"/>
      <c r="H51" s="44"/>
      <c r="I51" s="49">
        <v>13886220</v>
      </c>
      <c r="J51" s="50">
        <f t="shared" si="2"/>
        <v>7.9349828571428569</v>
      </c>
      <c r="K51" s="51">
        <f t="shared" si="10"/>
        <v>7.9349828571428569</v>
      </c>
      <c r="L51" s="42"/>
      <c r="M51" s="43"/>
      <c r="N51" s="24">
        <f t="shared" si="3"/>
        <v>13886220</v>
      </c>
      <c r="O51" s="43"/>
      <c r="P51" s="43"/>
      <c r="Q51" s="44">
        <v>0</v>
      </c>
      <c r="R51" s="43"/>
      <c r="S51" s="43"/>
      <c r="T51" s="43"/>
      <c r="U51" s="45"/>
      <c r="V51" s="46"/>
    </row>
    <row r="52" spans="1:22" s="47" customFormat="1" ht="41.25" customHeight="1" x14ac:dyDescent="0.2">
      <c r="A52" s="39"/>
      <c r="B52" s="48" t="s">
        <v>71</v>
      </c>
      <c r="C52" s="49">
        <v>1000000000</v>
      </c>
      <c r="D52" s="61"/>
      <c r="E52" s="60"/>
      <c r="F52" s="44"/>
      <c r="G52" s="44"/>
      <c r="H52" s="44"/>
      <c r="I52" s="49">
        <f>15041080+11447040+2600000+3750000+90000000+454500000+19153040</f>
        <v>596491160</v>
      </c>
      <c r="J52" s="50">
        <f t="shared" si="2"/>
        <v>59.649115999999999</v>
      </c>
      <c r="K52" s="51">
        <f t="shared" si="10"/>
        <v>59.649115999999999</v>
      </c>
      <c r="L52" s="42"/>
      <c r="M52" s="43"/>
      <c r="N52" s="24">
        <f t="shared" si="3"/>
        <v>596491160</v>
      </c>
      <c r="O52" s="43"/>
      <c r="P52" s="43"/>
      <c r="Q52" s="44">
        <v>0</v>
      </c>
      <c r="R52" s="43"/>
      <c r="S52" s="43"/>
      <c r="T52" s="43"/>
      <c r="U52" s="45"/>
      <c r="V52" s="46"/>
    </row>
    <row r="53" spans="1:22" s="47" customFormat="1" ht="44.25" customHeight="1" x14ac:dyDescent="0.2">
      <c r="A53" s="39"/>
      <c r="B53" s="48" t="s">
        <v>72</v>
      </c>
      <c r="C53" s="49">
        <v>30000000</v>
      </c>
      <c r="D53" s="61"/>
      <c r="E53" s="60"/>
      <c r="F53" s="44"/>
      <c r="G53" s="44"/>
      <c r="H53" s="44"/>
      <c r="I53" s="49">
        <v>3551400</v>
      </c>
      <c r="J53" s="50">
        <f t="shared" si="2"/>
        <v>11.837999999999999</v>
      </c>
      <c r="K53" s="51">
        <f t="shared" si="10"/>
        <v>11.837999999999999</v>
      </c>
      <c r="L53" s="42"/>
      <c r="M53" s="43"/>
      <c r="N53" s="24">
        <f t="shared" si="3"/>
        <v>3551400</v>
      </c>
      <c r="O53" s="43"/>
      <c r="P53" s="43"/>
      <c r="Q53" s="44">
        <v>0</v>
      </c>
      <c r="R53" s="43"/>
      <c r="S53" s="43"/>
      <c r="T53" s="43"/>
      <c r="U53" s="45"/>
      <c r="V53" s="46"/>
    </row>
    <row r="54" spans="1:22" s="47" customFormat="1" ht="27" customHeight="1" x14ac:dyDescent="0.2">
      <c r="A54" s="39"/>
      <c r="B54" s="48" t="s">
        <v>73</v>
      </c>
      <c r="C54" s="49">
        <v>117000000</v>
      </c>
      <c r="D54" s="59"/>
      <c r="E54" s="60"/>
      <c r="F54" s="44"/>
      <c r="G54" s="44"/>
      <c r="H54" s="44"/>
      <c r="I54" s="49">
        <f>15747160+8414160+5200000+9101080</f>
        <v>38462400</v>
      </c>
      <c r="J54" s="50">
        <f t="shared" si="2"/>
        <v>32.873846153846152</v>
      </c>
      <c r="K54" s="51">
        <f t="shared" si="10"/>
        <v>32.873846153846152</v>
      </c>
      <c r="L54" s="42"/>
      <c r="M54" s="43"/>
      <c r="N54" s="24">
        <f t="shared" si="3"/>
        <v>38462400</v>
      </c>
      <c r="O54" s="43"/>
      <c r="P54" s="43"/>
      <c r="Q54" s="44">
        <v>0</v>
      </c>
      <c r="R54" s="43"/>
      <c r="S54" s="43"/>
      <c r="T54" s="43"/>
      <c r="U54" s="45"/>
      <c r="V54" s="46"/>
    </row>
    <row r="55" spans="1:22" s="47" customFormat="1" ht="54.75" customHeight="1" x14ac:dyDescent="0.2">
      <c r="A55" s="39"/>
      <c r="B55" s="57" t="s">
        <v>74</v>
      </c>
      <c r="C55" s="49">
        <v>120000000</v>
      </c>
      <c r="D55" s="59"/>
      <c r="E55" s="60"/>
      <c r="F55" s="44"/>
      <c r="G55" s="44"/>
      <c r="H55" s="44"/>
      <c r="I55" s="49">
        <f>19620675+6202500</f>
        <v>25823175</v>
      </c>
      <c r="J55" s="50">
        <f t="shared" si="2"/>
        <v>21.519312500000002</v>
      </c>
      <c r="K55" s="51">
        <f t="shared" si="10"/>
        <v>21.519312500000002</v>
      </c>
      <c r="L55" s="42"/>
      <c r="M55" s="43"/>
      <c r="N55" s="24">
        <f t="shared" si="3"/>
        <v>25823175</v>
      </c>
      <c r="O55" s="43"/>
      <c r="P55" s="43"/>
      <c r="Q55" s="44">
        <v>0</v>
      </c>
      <c r="R55" s="43"/>
      <c r="S55" s="43"/>
      <c r="T55" s="43"/>
      <c r="U55" s="45"/>
      <c r="V55" s="46"/>
    </row>
    <row r="56" spans="1:22" s="47" customFormat="1" ht="38.25" customHeight="1" x14ac:dyDescent="0.2">
      <c r="A56" s="39"/>
      <c r="B56" s="56" t="s">
        <v>75</v>
      </c>
      <c r="C56" s="24">
        <f>C57</f>
        <v>161830000</v>
      </c>
      <c r="D56" s="24">
        <f t="shared" ref="D56:H56" si="19">D57</f>
        <v>0</v>
      </c>
      <c r="E56" s="24">
        <f t="shared" si="19"/>
        <v>0</v>
      </c>
      <c r="F56" s="24">
        <f t="shared" si="19"/>
        <v>0</v>
      </c>
      <c r="G56" s="24">
        <f t="shared" si="19"/>
        <v>0</v>
      </c>
      <c r="H56" s="24">
        <f t="shared" si="19"/>
        <v>0</v>
      </c>
      <c r="I56" s="24">
        <f>I57</f>
        <v>0</v>
      </c>
      <c r="J56" s="25">
        <f t="shared" si="2"/>
        <v>0</v>
      </c>
      <c r="K56" s="51">
        <f t="shared" si="10"/>
        <v>0</v>
      </c>
      <c r="L56" s="42"/>
      <c r="M56" s="43"/>
      <c r="N56" s="24">
        <f t="shared" si="3"/>
        <v>0</v>
      </c>
      <c r="O56" s="43"/>
      <c r="P56" s="43"/>
      <c r="Q56" s="44">
        <v>0</v>
      </c>
      <c r="R56" s="43"/>
      <c r="S56" s="43"/>
      <c r="T56" s="43"/>
      <c r="U56" s="45"/>
      <c r="V56" s="46"/>
    </row>
    <row r="57" spans="1:22" s="47" customFormat="1" ht="17.25" customHeight="1" x14ac:dyDescent="0.2">
      <c r="A57" s="39"/>
      <c r="B57" s="48" t="s">
        <v>70</v>
      </c>
      <c r="C57" s="49">
        <v>161830000</v>
      </c>
      <c r="D57" s="61"/>
      <c r="E57" s="62"/>
      <c r="F57" s="44"/>
      <c r="G57" s="44"/>
      <c r="H57" s="44"/>
      <c r="I57" s="49"/>
      <c r="J57" s="50">
        <f t="shared" si="2"/>
        <v>0</v>
      </c>
      <c r="K57" s="51">
        <f t="shared" si="10"/>
        <v>0</v>
      </c>
      <c r="L57" s="42"/>
      <c r="M57" s="43"/>
      <c r="N57" s="24">
        <f t="shared" si="3"/>
        <v>0</v>
      </c>
      <c r="O57" s="43"/>
      <c r="P57" s="43"/>
      <c r="Q57" s="44">
        <v>0</v>
      </c>
      <c r="R57" s="43"/>
      <c r="S57" s="43"/>
      <c r="T57" s="43"/>
      <c r="U57" s="45"/>
      <c r="V57" s="46"/>
    </row>
    <row r="58" spans="1:22" s="38" customFormat="1" ht="24" customHeight="1" x14ac:dyDescent="0.2">
      <c r="A58" s="54" t="s">
        <v>76</v>
      </c>
      <c r="B58" s="32" t="s">
        <v>77</v>
      </c>
      <c r="C58" s="33">
        <f t="shared" ref="C58:I58" si="20">C59</f>
        <v>5553057800</v>
      </c>
      <c r="D58" s="33">
        <f t="shared" si="20"/>
        <v>0</v>
      </c>
      <c r="E58" s="33">
        <f t="shared" si="20"/>
        <v>0</v>
      </c>
      <c r="F58" s="33">
        <f t="shared" si="20"/>
        <v>0</v>
      </c>
      <c r="G58" s="33">
        <f t="shared" si="20"/>
        <v>0</v>
      </c>
      <c r="H58" s="33">
        <f t="shared" si="20"/>
        <v>0</v>
      </c>
      <c r="I58" s="33">
        <f t="shared" si="20"/>
        <v>5020299396</v>
      </c>
      <c r="J58" s="34">
        <f t="shared" si="2"/>
        <v>90.406035319855675</v>
      </c>
      <c r="K58" s="55">
        <f t="shared" si="10"/>
        <v>90.406035319855675</v>
      </c>
      <c r="L58" s="53"/>
      <c r="M58" s="35"/>
      <c r="N58" s="33">
        <f t="shared" si="3"/>
        <v>5020299396</v>
      </c>
      <c r="O58" s="35"/>
      <c r="P58" s="35"/>
      <c r="Q58" s="36">
        <f>SUM(Q59)</f>
        <v>0</v>
      </c>
      <c r="R58" s="35"/>
      <c r="S58" s="35"/>
      <c r="T58" s="35"/>
      <c r="U58" s="37"/>
      <c r="V58" s="46"/>
    </row>
    <row r="59" spans="1:22" s="47" customFormat="1" ht="40.5" customHeight="1" x14ac:dyDescent="0.2">
      <c r="A59" s="39"/>
      <c r="B59" s="56" t="s">
        <v>78</v>
      </c>
      <c r="C59" s="24">
        <f>SUM(C60:C62)</f>
        <v>5553057800</v>
      </c>
      <c r="D59" s="24">
        <f t="shared" ref="D59:H59" si="21">SUM(D60:D62)</f>
        <v>0</v>
      </c>
      <c r="E59" s="24">
        <f t="shared" si="21"/>
        <v>0</v>
      </c>
      <c r="F59" s="24">
        <f t="shared" si="21"/>
        <v>0</v>
      </c>
      <c r="G59" s="24">
        <f t="shared" si="21"/>
        <v>0</v>
      </c>
      <c r="H59" s="24">
        <f t="shared" si="21"/>
        <v>0</v>
      </c>
      <c r="I59" s="24">
        <f>SUM(I60:I62)</f>
        <v>5020299396</v>
      </c>
      <c r="J59" s="25">
        <f t="shared" si="2"/>
        <v>90.406035319855675</v>
      </c>
      <c r="K59" s="51">
        <f t="shared" si="10"/>
        <v>90.406035319855675</v>
      </c>
      <c r="L59" s="42"/>
      <c r="M59" s="43"/>
      <c r="N59" s="24">
        <f t="shared" si="3"/>
        <v>5020299396</v>
      </c>
      <c r="O59" s="43"/>
      <c r="P59" s="43"/>
      <c r="Q59" s="44">
        <v>0</v>
      </c>
      <c r="R59" s="43"/>
      <c r="S59" s="43"/>
      <c r="T59" s="43"/>
      <c r="U59" s="45"/>
      <c r="V59" s="46"/>
    </row>
    <row r="60" spans="1:22" s="30" customFormat="1" ht="31.5" customHeight="1" x14ac:dyDescent="0.2">
      <c r="A60" s="22"/>
      <c r="B60" s="48" t="s">
        <v>79</v>
      </c>
      <c r="C60" s="49">
        <v>310000000</v>
      </c>
      <c r="D60" s="28"/>
      <c r="E60" s="28"/>
      <c r="F60" s="28"/>
      <c r="G60" s="28"/>
      <c r="H60" s="28"/>
      <c r="I60" s="49">
        <v>20277000</v>
      </c>
      <c r="J60" s="50">
        <f t="shared" si="2"/>
        <v>6.5409677419354839</v>
      </c>
      <c r="K60" s="51">
        <f t="shared" si="10"/>
        <v>6.5409677419354839</v>
      </c>
      <c r="L60" s="42"/>
      <c r="M60" s="27"/>
      <c r="N60" s="24">
        <f t="shared" si="3"/>
        <v>20277000</v>
      </c>
      <c r="O60" s="27"/>
      <c r="P60" s="27"/>
      <c r="Q60" s="28">
        <f>SUM(Q61)</f>
        <v>0</v>
      </c>
      <c r="R60" s="27"/>
      <c r="S60" s="27"/>
      <c r="T60" s="27"/>
      <c r="U60" s="29"/>
      <c r="V60" s="46"/>
    </row>
    <row r="61" spans="1:22" s="47" customFormat="1" ht="27" customHeight="1" x14ac:dyDescent="0.2">
      <c r="A61" s="39"/>
      <c r="B61" s="48" t="s">
        <v>80</v>
      </c>
      <c r="C61" s="49">
        <v>100000000</v>
      </c>
      <c r="D61" s="44"/>
      <c r="E61" s="44"/>
      <c r="F61" s="44"/>
      <c r="G61" s="44"/>
      <c r="H61" s="44"/>
      <c r="I61" s="49">
        <f>10872160+22884804+5672160+5200000+5436080</f>
        <v>50065204</v>
      </c>
      <c r="J61" s="50">
        <f t="shared" si="2"/>
        <v>50.065203999999994</v>
      </c>
      <c r="K61" s="51">
        <f t="shared" si="10"/>
        <v>50.065203999999994</v>
      </c>
      <c r="L61" s="42"/>
      <c r="M61" s="43"/>
      <c r="N61" s="24">
        <f t="shared" si="3"/>
        <v>50065204</v>
      </c>
      <c r="O61" s="43"/>
      <c r="P61" s="43"/>
      <c r="Q61" s="44">
        <v>0</v>
      </c>
      <c r="R61" s="43"/>
      <c r="S61" s="43"/>
      <c r="T61" s="43"/>
      <c r="U61" s="45"/>
      <c r="V61" s="46"/>
    </row>
    <row r="62" spans="1:22" s="47" customFormat="1" ht="51.75" customHeight="1" x14ac:dyDescent="0.2">
      <c r="A62" s="22"/>
      <c r="B62" s="48" t="s">
        <v>81</v>
      </c>
      <c r="C62" s="49">
        <v>5143057800</v>
      </c>
      <c r="D62" s="28"/>
      <c r="E62" s="28"/>
      <c r="F62" s="28"/>
      <c r="G62" s="28"/>
      <c r="H62" s="28"/>
      <c r="I62" s="49">
        <f>35084150+10473042+4904400000</f>
        <v>4949957192</v>
      </c>
      <c r="J62" s="50">
        <f t="shared" si="2"/>
        <v>96.24541244704659</v>
      </c>
      <c r="K62" s="51">
        <f t="shared" si="10"/>
        <v>96.24541244704659</v>
      </c>
      <c r="L62" s="42"/>
      <c r="M62" s="27"/>
      <c r="N62" s="24">
        <f t="shared" si="3"/>
        <v>4949957192</v>
      </c>
      <c r="O62" s="27"/>
      <c r="P62" s="27"/>
      <c r="Q62" s="28">
        <f>SUM(Q63:Q64)</f>
        <v>0</v>
      </c>
      <c r="R62" s="27"/>
      <c r="S62" s="27"/>
      <c r="T62" s="27"/>
      <c r="U62" s="45"/>
      <c r="V62" s="46"/>
    </row>
    <row r="63" spans="1:22" s="38" customFormat="1" ht="18" customHeight="1" x14ac:dyDescent="0.2">
      <c r="A63" s="31" t="s">
        <v>82</v>
      </c>
      <c r="B63" s="32" t="s">
        <v>83</v>
      </c>
      <c r="C63" s="33">
        <f>C64</f>
        <v>160000000</v>
      </c>
      <c r="D63" s="33">
        <f t="shared" ref="D63:I63" si="22">D64</f>
        <v>0</v>
      </c>
      <c r="E63" s="33">
        <f t="shared" si="22"/>
        <v>0</v>
      </c>
      <c r="F63" s="33">
        <f t="shared" si="22"/>
        <v>0</v>
      </c>
      <c r="G63" s="33">
        <f t="shared" si="22"/>
        <v>0</v>
      </c>
      <c r="H63" s="33">
        <f t="shared" si="22"/>
        <v>0</v>
      </c>
      <c r="I63" s="33">
        <f t="shared" si="22"/>
        <v>5860000</v>
      </c>
      <c r="J63" s="34">
        <f t="shared" si="2"/>
        <v>3.6624999999999996</v>
      </c>
      <c r="K63" s="52">
        <f t="shared" si="10"/>
        <v>3.6624999999999996</v>
      </c>
      <c r="L63" s="53"/>
      <c r="M63" s="35"/>
      <c r="N63" s="33">
        <f t="shared" si="3"/>
        <v>5860000</v>
      </c>
      <c r="O63" s="35"/>
      <c r="P63" s="35"/>
      <c r="Q63" s="36">
        <v>0</v>
      </c>
      <c r="R63" s="35"/>
      <c r="S63" s="35"/>
      <c r="T63" s="35"/>
      <c r="U63" s="37"/>
      <c r="V63" s="46"/>
    </row>
    <row r="64" spans="1:22" s="47" customFormat="1" ht="28.5" customHeight="1" x14ac:dyDescent="0.2">
      <c r="A64" s="39"/>
      <c r="B64" s="23" t="s">
        <v>84</v>
      </c>
      <c r="C64" s="24">
        <f>SUM(C65:C68)</f>
        <v>160000000</v>
      </c>
      <c r="D64" s="24">
        <f t="shared" ref="D64:H64" si="23">SUM(D65:D66)</f>
        <v>0</v>
      </c>
      <c r="E64" s="24">
        <f t="shared" si="23"/>
        <v>0</v>
      </c>
      <c r="F64" s="24">
        <f t="shared" si="23"/>
        <v>0</v>
      </c>
      <c r="G64" s="24">
        <f t="shared" si="23"/>
        <v>0</v>
      </c>
      <c r="H64" s="24">
        <f t="shared" si="23"/>
        <v>0</v>
      </c>
      <c r="I64" s="24">
        <f>SUM(I65:I68)</f>
        <v>5860000</v>
      </c>
      <c r="J64" s="25">
        <f t="shared" si="2"/>
        <v>3.6624999999999996</v>
      </c>
      <c r="K64" s="51">
        <f t="shared" si="10"/>
        <v>3.6624999999999996</v>
      </c>
      <c r="L64" s="43"/>
      <c r="M64" s="43"/>
      <c r="N64" s="24">
        <f t="shared" si="3"/>
        <v>5860000</v>
      </c>
      <c r="O64" s="43"/>
      <c r="P64" s="43"/>
      <c r="Q64" s="44">
        <v>0</v>
      </c>
      <c r="R64" s="43"/>
      <c r="S64" s="43"/>
      <c r="T64" s="43"/>
      <c r="U64" s="45"/>
      <c r="V64" s="46"/>
    </row>
    <row r="65" spans="1:22" s="30" customFormat="1" ht="30" customHeight="1" x14ac:dyDescent="0.2">
      <c r="A65" s="22"/>
      <c r="B65" s="48" t="s">
        <v>85</v>
      </c>
      <c r="C65" s="49">
        <v>70000000</v>
      </c>
      <c r="D65" s="28"/>
      <c r="E65" s="28"/>
      <c r="F65" s="28"/>
      <c r="G65" s="28"/>
      <c r="H65" s="28"/>
      <c r="I65" s="49">
        <f>3240000+2620000</f>
        <v>5860000</v>
      </c>
      <c r="J65" s="50">
        <f t="shared" si="2"/>
        <v>8.3714285714285719</v>
      </c>
      <c r="K65" s="51">
        <f t="shared" si="10"/>
        <v>8.3714285714285719</v>
      </c>
      <c r="L65" s="42"/>
      <c r="M65" s="27"/>
      <c r="N65" s="24">
        <f t="shared" si="3"/>
        <v>5860000</v>
      </c>
      <c r="O65" s="27"/>
      <c r="P65" s="27"/>
      <c r="Q65" s="28">
        <f>SUM(Q66:Q80)</f>
        <v>0</v>
      </c>
      <c r="R65" s="27"/>
      <c r="S65" s="27"/>
      <c r="T65" s="27"/>
      <c r="U65" s="29"/>
      <c r="V65" s="46"/>
    </row>
    <row r="66" spans="1:22" s="47" customFormat="1" ht="25.5" customHeight="1" x14ac:dyDescent="0.2">
      <c r="A66" s="39"/>
      <c r="B66" s="48" t="s">
        <v>86</v>
      </c>
      <c r="C66" s="49">
        <v>25000000</v>
      </c>
      <c r="D66" s="44"/>
      <c r="E66" s="44"/>
      <c r="F66" s="44"/>
      <c r="G66" s="44"/>
      <c r="H66" s="44"/>
      <c r="I66" s="49"/>
      <c r="J66" s="25">
        <f t="shared" si="2"/>
        <v>0</v>
      </c>
      <c r="K66" s="51">
        <f t="shared" si="10"/>
        <v>0</v>
      </c>
      <c r="L66" s="42"/>
      <c r="M66" s="43"/>
      <c r="N66" s="24">
        <f t="shared" si="3"/>
        <v>0</v>
      </c>
      <c r="O66" s="43"/>
      <c r="P66" s="43"/>
      <c r="Q66" s="44">
        <v>0</v>
      </c>
      <c r="R66" s="43"/>
      <c r="S66" s="43"/>
      <c r="T66" s="43"/>
      <c r="U66" s="45"/>
      <c r="V66" s="46"/>
    </row>
    <row r="67" spans="1:22" s="47" customFormat="1" ht="25.5" customHeight="1" x14ac:dyDescent="0.2">
      <c r="A67" s="39"/>
      <c r="B67" s="48" t="s">
        <v>87</v>
      </c>
      <c r="C67" s="49">
        <v>50000000</v>
      </c>
      <c r="D67" s="44"/>
      <c r="E67" s="44"/>
      <c r="F67" s="44"/>
      <c r="G67" s="44"/>
      <c r="H67" s="44"/>
      <c r="I67" s="49"/>
      <c r="J67" s="25">
        <f t="shared" si="2"/>
        <v>0</v>
      </c>
      <c r="K67" s="51">
        <f t="shared" si="10"/>
        <v>0</v>
      </c>
      <c r="L67" s="42"/>
      <c r="M67" s="43"/>
      <c r="N67" s="24">
        <f t="shared" si="3"/>
        <v>0</v>
      </c>
      <c r="O67" s="43"/>
      <c r="P67" s="43"/>
      <c r="Q67" s="44">
        <v>0</v>
      </c>
      <c r="R67" s="43"/>
      <c r="S67" s="43"/>
      <c r="T67" s="43"/>
      <c r="U67" s="45"/>
      <c r="V67" s="46"/>
    </row>
    <row r="68" spans="1:22" s="47" customFormat="1" ht="25.5" customHeight="1" x14ac:dyDescent="0.2">
      <c r="A68" s="39"/>
      <c r="B68" s="48" t="s">
        <v>88</v>
      </c>
      <c r="C68" s="49">
        <v>15000000</v>
      </c>
      <c r="D68" s="44"/>
      <c r="E68" s="44"/>
      <c r="F68" s="44"/>
      <c r="G68" s="44"/>
      <c r="H68" s="44"/>
      <c r="I68" s="49"/>
      <c r="J68" s="25">
        <f t="shared" si="2"/>
        <v>0</v>
      </c>
      <c r="K68" s="51">
        <f t="shared" si="10"/>
        <v>0</v>
      </c>
      <c r="L68" s="42"/>
      <c r="M68" s="43"/>
      <c r="N68" s="24">
        <f t="shared" si="3"/>
        <v>0</v>
      </c>
      <c r="O68" s="43"/>
      <c r="P68" s="43"/>
      <c r="Q68" s="44">
        <v>0</v>
      </c>
      <c r="R68" s="43"/>
      <c r="S68" s="43"/>
      <c r="T68" s="43"/>
      <c r="U68" s="45"/>
      <c r="V68" s="46"/>
    </row>
    <row r="69" spans="1:22" s="38" customFormat="1" ht="29.25" customHeight="1" x14ac:dyDescent="0.2">
      <c r="A69" s="31" t="s">
        <v>89</v>
      </c>
      <c r="B69" s="32" t="s">
        <v>90</v>
      </c>
      <c r="C69" s="33">
        <f>C70</f>
        <v>45000000</v>
      </c>
      <c r="D69" s="33">
        <f t="shared" ref="D69:I70" si="24">D70</f>
        <v>0</v>
      </c>
      <c r="E69" s="33">
        <f t="shared" si="24"/>
        <v>0</v>
      </c>
      <c r="F69" s="33">
        <f t="shared" si="24"/>
        <v>0</v>
      </c>
      <c r="G69" s="33">
        <f t="shared" si="24"/>
        <v>0</v>
      </c>
      <c r="H69" s="33">
        <f t="shared" si="24"/>
        <v>0</v>
      </c>
      <c r="I69" s="33">
        <f t="shared" si="24"/>
        <v>0</v>
      </c>
      <c r="J69" s="34">
        <f t="shared" si="2"/>
        <v>0</v>
      </c>
      <c r="K69" s="55">
        <f t="shared" si="10"/>
        <v>0</v>
      </c>
      <c r="L69" s="53"/>
      <c r="M69" s="35"/>
      <c r="N69" s="33">
        <f t="shared" si="3"/>
        <v>0</v>
      </c>
      <c r="O69" s="35"/>
      <c r="P69" s="35"/>
      <c r="Q69" s="36">
        <v>0</v>
      </c>
      <c r="R69" s="35"/>
      <c r="S69" s="35"/>
      <c r="T69" s="35"/>
      <c r="U69" s="37"/>
      <c r="V69" s="46"/>
    </row>
    <row r="70" spans="1:22" s="47" customFormat="1" ht="27.75" customHeight="1" x14ac:dyDescent="0.2">
      <c r="A70" s="39"/>
      <c r="B70" s="23" t="s">
        <v>91</v>
      </c>
      <c r="C70" s="24">
        <f>C71</f>
        <v>45000000</v>
      </c>
      <c r="D70" s="24">
        <f t="shared" si="24"/>
        <v>0</v>
      </c>
      <c r="E70" s="24">
        <f t="shared" si="24"/>
        <v>0</v>
      </c>
      <c r="F70" s="24">
        <f t="shared" si="24"/>
        <v>0</v>
      </c>
      <c r="G70" s="24">
        <f t="shared" si="24"/>
        <v>0</v>
      </c>
      <c r="H70" s="24">
        <f t="shared" si="24"/>
        <v>0</v>
      </c>
      <c r="I70" s="24">
        <f>I71</f>
        <v>0</v>
      </c>
      <c r="J70" s="25">
        <f t="shared" si="2"/>
        <v>0</v>
      </c>
      <c r="K70" s="51">
        <f t="shared" si="10"/>
        <v>0</v>
      </c>
      <c r="L70" s="43"/>
      <c r="M70" s="43"/>
      <c r="N70" s="24">
        <f t="shared" si="3"/>
        <v>0</v>
      </c>
      <c r="O70" s="43"/>
      <c r="P70" s="43"/>
      <c r="Q70" s="44">
        <v>0</v>
      </c>
      <c r="R70" s="43"/>
      <c r="S70" s="43"/>
      <c r="T70" s="43"/>
      <c r="U70" s="45"/>
      <c r="V70" s="46"/>
    </row>
    <row r="71" spans="1:22" s="47" customFormat="1" ht="27.75" customHeight="1" x14ac:dyDescent="0.2">
      <c r="A71" s="39"/>
      <c r="B71" s="48" t="s">
        <v>91</v>
      </c>
      <c r="C71" s="63">
        <v>45000000</v>
      </c>
      <c r="D71" s="44"/>
      <c r="E71" s="44"/>
      <c r="F71" s="44"/>
      <c r="G71" s="44"/>
      <c r="H71" s="44"/>
      <c r="I71" s="63"/>
      <c r="J71" s="50">
        <f t="shared" si="2"/>
        <v>0</v>
      </c>
      <c r="K71" s="51">
        <f t="shared" si="10"/>
        <v>0</v>
      </c>
      <c r="L71" s="42"/>
      <c r="M71" s="43"/>
      <c r="N71" s="24">
        <f t="shared" si="3"/>
        <v>0</v>
      </c>
      <c r="O71" s="43"/>
      <c r="P71" s="43"/>
      <c r="Q71" s="44">
        <v>0</v>
      </c>
      <c r="R71" s="43"/>
      <c r="S71" s="43"/>
      <c r="T71" s="43"/>
      <c r="U71" s="45"/>
      <c r="V71" s="46"/>
    </row>
    <row r="72" spans="1:22" s="47" customFormat="1" ht="27.75" customHeight="1" x14ac:dyDescent="0.2">
      <c r="A72" s="22">
        <v>2</v>
      </c>
      <c r="B72" s="23" t="s">
        <v>92</v>
      </c>
      <c r="C72" s="64">
        <f t="shared" ref="C72:I72" si="25">C73</f>
        <v>6649641368</v>
      </c>
      <c r="D72" s="64">
        <f t="shared" si="25"/>
        <v>0</v>
      </c>
      <c r="E72" s="64">
        <f t="shared" si="25"/>
        <v>0</v>
      </c>
      <c r="F72" s="64">
        <f t="shared" si="25"/>
        <v>0</v>
      </c>
      <c r="G72" s="64">
        <f t="shared" si="25"/>
        <v>0</v>
      </c>
      <c r="H72" s="64">
        <f t="shared" si="25"/>
        <v>0</v>
      </c>
      <c r="I72" s="64">
        <f t="shared" si="25"/>
        <v>2027593444</v>
      </c>
      <c r="J72" s="25">
        <f t="shared" si="2"/>
        <v>30.491771387211447</v>
      </c>
      <c r="K72" s="25">
        <f>J72</f>
        <v>30.491771387211447</v>
      </c>
      <c r="L72" s="43"/>
      <c r="M72" s="43"/>
      <c r="N72" s="24">
        <f t="shared" si="3"/>
        <v>2027593444</v>
      </c>
      <c r="O72" s="43"/>
      <c r="P72" s="43"/>
      <c r="Q72" s="44"/>
      <c r="R72" s="43"/>
      <c r="S72" s="43"/>
      <c r="T72" s="43"/>
      <c r="U72" s="45"/>
      <c r="V72" s="46"/>
    </row>
    <row r="73" spans="1:22" s="47" customFormat="1" ht="27.75" customHeight="1" x14ac:dyDescent="0.2">
      <c r="A73" s="22" t="s">
        <v>93</v>
      </c>
      <c r="B73" s="23" t="s">
        <v>94</v>
      </c>
      <c r="C73" s="64">
        <f>C74+C77+C82+C96</f>
        <v>6649641368</v>
      </c>
      <c r="D73" s="64">
        <f t="shared" ref="D73:H73" si="26">D74+D77+D82+D96</f>
        <v>0</v>
      </c>
      <c r="E73" s="64">
        <f t="shared" si="26"/>
        <v>0</v>
      </c>
      <c r="F73" s="64">
        <f t="shared" si="26"/>
        <v>0</v>
      </c>
      <c r="G73" s="64">
        <f t="shared" si="26"/>
        <v>0</v>
      </c>
      <c r="H73" s="64">
        <f t="shared" si="26"/>
        <v>0</v>
      </c>
      <c r="I73" s="64">
        <f>I74+I77+I82+I96</f>
        <v>2027593444</v>
      </c>
      <c r="J73" s="25">
        <f t="shared" si="2"/>
        <v>30.491771387211447</v>
      </c>
      <c r="K73" s="26">
        <f>J73</f>
        <v>30.491771387211447</v>
      </c>
      <c r="L73" s="43"/>
      <c r="M73" s="43"/>
      <c r="N73" s="24">
        <f t="shared" si="3"/>
        <v>2027593444</v>
      </c>
      <c r="O73" s="43"/>
      <c r="P73" s="43"/>
      <c r="Q73" s="44"/>
      <c r="R73" s="43"/>
      <c r="S73" s="43"/>
      <c r="T73" s="43"/>
      <c r="U73" s="45"/>
      <c r="V73" s="46"/>
    </row>
    <row r="74" spans="1:22" s="67" customFormat="1" ht="18" customHeight="1" x14ac:dyDescent="0.2">
      <c r="A74" s="31" t="s">
        <v>95</v>
      </c>
      <c r="B74" s="32" t="s">
        <v>96</v>
      </c>
      <c r="C74" s="33">
        <f>C75</f>
        <v>50000000</v>
      </c>
      <c r="D74" s="33">
        <f t="shared" ref="D74:I75" si="27">D75</f>
        <v>0</v>
      </c>
      <c r="E74" s="33">
        <f t="shared" si="27"/>
        <v>0</v>
      </c>
      <c r="F74" s="33">
        <f t="shared" si="27"/>
        <v>0</v>
      </c>
      <c r="G74" s="33">
        <f t="shared" si="27"/>
        <v>0</v>
      </c>
      <c r="H74" s="33">
        <f t="shared" si="27"/>
        <v>0</v>
      </c>
      <c r="I74" s="33">
        <f t="shared" si="27"/>
        <v>15422510</v>
      </c>
      <c r="J74" s="25">
        <f t="shared" si="2"/>
        <v>30.845020000000002</v>
      </c>
      <c r="K74" s="55">
        <f t="shared" si="10"/>
        <v>30.845020000000002</v>
      </c>
      <c r="L74" s="53"/>
      <c r="M74" s="53"/>
      <c r="N74" s="33">
        <f t="shared" si="3"/>
        <v>15422510</v>
      </c>
      <c r="O74" s="53"/>
      <c r="P74" s="53"/>
      <c r="Q74" s="65">
        <v>0</v>
      </c>
      <c r="R74" s="53"/>
      <c r="S74" s="53"/>
      <c r="T74" s="53"/>
      <c r="U74" s="66"/>
      <c r="V74" s="46"/>
    </row>
    <row r="75" spans="1:22" s="47" customFormat="1" ht="19.5" customHeight="1" x14ac:dyDescent="0.2">
      <c r="A75" s="39"/>
      <c r="B75" s="23" t="s">
        <v>97</v>
      </c>
      <c r="C75" s="24">
        <f>C76</f>
        <v>50000000</v>
      </c>
      <c r="D75" s="24">
        <f t="shared" si="27"/>
        <v>0</v>
      </c>
      <c r="E75" s="24">
        <f t="shared" si="27"/>
        <v>0</v>
      </c>
      <c r="F75" s="24">
        <f t="shared" si="27"/>
        <v>0</v>
      </c>
      <c r="G75" s="24">
        <f t="shared" si="27"/>
        <v>0</v>
      </c>
      <c r="H75" s="24">
        <f t="shared" si="27"/>
        <v>0</v>
      </c>
      <c r="I75" s="24">
        <f t="shared" si="27"/>
        <v>15422510</v>
      </c>
      <c r="J75" s="25">
        <v>0</v>
      </c>
      <c r="K75" s="51">
        <f t="shared" si="10"/>
        <v>0</v>
      </c>
      <c r="L75" s="43">
        <f>C75-I75</f>
        <v>34577490</v>
      </c>
      <c r="M75" s="43"/>
      <c r="N75" s="24">
        <f t="shared" si="3"/>
        <v>15422510</v>
      </c>
      <c r="O75" s="43"/>
      <c r="P75" s="43"/>
      <c r="Q75" s="44">
        <v>0</v>
      </c>
      <c r="R75" s="43"/>
      <c r="S75" s="43"/>
      <c r="T75" s="43"/>
      <c r="U75" s="45"/>
      <c r="V75" s="46"/>
    </row>
    <row r="76" spans="1:22" s="47" customFormat="1" ht="16.5" customHeight="1" x14ac:dyDescent="0.2">
      <c r="A76" s="39"/>
      <c r="B76" s="48" t="s">
        <v>98</v>
      </c>
      <c r="C76" s="49">
        <v>50000000</v>
      </c>
      <c r="D76" s="44"/>
      <c r="E76" s="44"/>
      <c r="F76" s="44"/>
      <c r="G76" s="44"/>
      <c r="H76" s="44"/>
      <c r="I76" s="49">
        <f>7662510+7760000</f>
        <v>15422510</v>
      </c>
      <c r="J76" s="25">
        <v>0</v>
      </c>
      <c r="K76" s="51">
        <f t="shared" si="10"/>
        <v>0</v>
      </c>
      <c r="L76" s="43"/>
      <c r="M76" s="43"/>
      <c r="N76" s="24">
        <f t="shared" si="3"/>
        <v>15422510</v>
      </c>
      <c r="O76" s="43"/>
      <c r="P76" s="43"/>
      <c r="Q76" s="44">
        <v>0</v>
      </c>
      <c r="R76" s="43"/>
      <c r="S76" s="43"/>
      <c r="T76" s="43"/>
      <c r="U76" s="45"/>
      <c r="V76" s="46"/>
    </row>
    <row r="77" spans="1:22" s="38" customFormat="1" ht="27.75" customHeight="1" x14ac:dyDescent="0.2">
      <c r="A77" s="31" t="s">
        <v>99</v>
      </c>
      <c r="B77" s="32" t="s">
        <v>100</v>
      </c>
      <c r="C77" s="33">
        <f t="shared" ref="C77:I77" si="28">C78</f>
        <v>305000000</v>
      </c>
      <c r="D77" s="33">
        <f t="shared" si="28"/>
        <v>0</v>
      </c>
      <c r="E77" s="33">
        <f t="shared" si="28"/>
        <v>0</v>
      </c>
      <c r="F77" s="33">
        <f t="shared" si="28"/>
        <v>0</v>
      </c>
      <c r="G77" s="33">
        <f t="shared" si="28"/>
        <v>0</v>
      </c>
      <c r="H77" s="33">
        <f t="shared" si="28"/>
        <v>0</v>
      </c>
      <c r="I77" s="33">
        <f t="shared" si="28"/>
        <v>73053070</v>
      </c>
      <c r="J77" s="34">
        <f t="shared" si="2"/>
        <v>23.951826229508196</v>
      </c>
      <c r="K77" s="52">
        <f t="shared" si="10"/>
        <v>23.951826229508196</v>
      </c>
      <c r="L77" s="53"/>
      <c r="M77" s="35"/>
      <c r="N77" s="33">
        <f t="shared" si="3"/>
        <v>73053070</v>
      </c>
      <c r="O77" s="35"/>
      <c r="P77" s="35"/>
      <c r="Q77" s="36">
        <v>0</v>
      </c>
      <c r="R77" s="35"/>
      <c r="S77" s="35"/>
      <c r="T77" s="35"/>
      <c r="U77" s="37"/>
      <c r="V77" s="46"/>
    </row>
    <row r="78" spans="1:22" s="47" customFormat="1" ht="26.25" customHeight="1" x14ac:dyDescent="0.2">
      <c r="A78" s="39"/>
      <c r="B78" s="23" t="s">
        <v>101</v>
      </c>
      <c r="C78" s="24">
        <f>SUM(C79:C81)</f>
        <v>305000000</v>
      </c>
      <c r="D78" s="24">
        <f t="shared" ref="D78:H78" si="29">SUM(D79:D81)</f>
        <v>0</v>
      </c>
      <c r="E78" s="24">
        <f t="shared" si="29"/>
        <v>0</v>
      </c>
      <c r="F78" s="24">
        <f t="shared" si="29"/>
        <v>0</v>
      </c>
      <c r="G78" s="24">
        <f t="shared" si="29"/>
        <v>0</v>
      </c>
      <c r="H78" s="24">
        <f t="shared" si="29"/>
        <v>0</v>
      </c>
      <c r="I78" s="24">
        <f>SUM(I79:I81)</f>
        <v>73053070</v>
      </c>
      <c r="J78" s="25">
        <f t="shared" si="2"/>
        <v>23.951826229508196</v>
      </c>
      <c r="K78" s="51">
        <f t="shared" si="10"/>
        <v>23.951826229508196</v>
      </c>
      <c r="L78" s="43"/>
      <c r="M78" s="43"/>
      <c r="N78" s="24">
        <f t="shared" si="3"/>
        <v>73053070</v>
      </c>
      <c r="O78" s="43"/>
      <c r="P78" s="43"/>
      <c r="Q78" s="44">
        <v>0</v>
      </c>
      <c r="R78" s="43"/>
      <c r="S78" s="43"/>
      <c r="T78" s="43"/>
      <c r="U78" s="45"/>
      <c r="V78" s="46"/>
    </row>
    <row r="79" spans="1:22" s="47" customFormat="1" ht="27" customHeight="1" x14ac:dyDescent="0.2">
      <c r="A79" s="68"/>
      <c r="B79" s="48" t="s">
        <v>102</v>
      </c>
      <c r="C79" s="63">
        <v>30000000</v>
      </c>
      <c r="D79" s="44"/>
      <c r="E79" s="44"/>
      <c r="F79" s="44"/>
      <c r="G79" s="44"/>
      <c r="H79" s="44"/>
      <c r="I79" s="63">
        <v>27274470</v>
      </c>
      <c r="J79" s="50">
        <f t="shared" si="2"/>
        <v>90.914900000000003</v>
      </c>
      <c r="K79" s="51">
        <f t="shared" si="10"/>
        <v>90.914900000000003</v>
      </c>
      <c r="L79" s="42"/>
      <c r="M79" s="43"/>
      <c r="N79" s="24">
        <f t="shared" si="3"/>
        <v>27274470</v>
      </c>
      <c r="O79" s="43"/>
      <c r="P79" s="43"/>
      <c r="Q79" s="44">
        <v>0</v>
      </c>
      <c r="R79" s="43"/>
      <c r="S79" s="43"/>
      <c r="T79" s="43"/>
      <c r="U79" s="45"/>
      <c r="V79" s="46"/>
    </row>
    <row r="80" spans="1:22" s="70" customFormat="1" ht="28.5" customHeight="1" x14ac:dyDescent="0.2">
      <c r="A80" s="22"/>
      <c r="B80" s="48" t="s">
        <v>103</v>
      </c>
      <c r="C80" s="49">
        <v>225000000</v>
      </c>
      <c r="D80" s="28"/>
      <c r="E80" s="28"/>
      <c r="F80" s="28"/>
      <c r="G80" s="28"/>
      <c r="H80" s="28"/>
      <c r="I80" s="49">
        <f>4390680+2290680+2100000+10508540+26488700</f>
        <v>45778600</v>
      </c>
      <c r="J80" s="50">
        <f t="shared" si="2"/>
        <v>20.346044444444445</v>
      </c>
      <c r="K80" s="26">
        <f t="shared" si="10"/>
        <v>20.346044444444445</v>
      </c>
      <c r="L80" s="42"/>
      <c r="M80" s="27"/>
      <c r="N80" s="24">
        <f t="shared" si="3"/>
        <v>45778600</v>
      </c>
      <c r="O80" s="27"/>
      <c r="P80" s="27"/>
      <c r="Q80" s="28">
        <v>0</v>
      </c>
      <c r="R80" s="27"/>
      <c r="S80" s="27"/>
      <c r="T80" s="27"/>
      <c r="U80" s="69"/>
      <c r="V80" s="46"/>
    </row>
    <row r="81" spans="1:22" s="70" customFormat="1" ht="18.75" customHeight="1" x14ac:dyDescent="0.2">
      <c r="A81" s="71"/>
      <c r="B81" s="48" t="s">
        <v>104</v>
      </c>
      <c r="C81" s="49">
        <v>50000000</v>
      </c>
      <c r="D81" s="28"/>
      <c r="E81" s="28"/>
      <c r="F81" s="28"/>
      <c r="G81" s="28"/>
      <c r="H81" s="28"/>
      <c r="I81" s="49"/>
      <c r="J81" s="50">
        <f t="shared" si="2"/>
        <v>0</v>
      </c>
      <c r="K81" s="26">
        <f t="shared" si="10"/>
        <v>0</v>
      </c>
      <c r="L81" s="42"/>
      <c r="M81" s="27"/>
      <c r="N81" s="24">
        <f t="shared" si="3"/>
        <v>0</v>
      </c>
      <c r="O81" s="27"/>
      <c r="P81" s="27"/>
      <c r="Q81" s="28">
        <f>SUM(Q82:Q83)</f>
        <v>0</v>
      </c>
      <c r="R81" s="27"/>
      <c r="S81" s="27"/>
      <c r="T81" s="27"/>
      <c r="U81" s="69"/>
      <c r="V81" s="46"/>
    </row>
    <row r="82" spans="1:22" s="74" customFormat="1" ht="30" customHeight="1" x14ac:dyDescent="0.2">
      <c r="A82" s="72" t="s">
        <v>105</v>
      </c>
      <c r="B82" s="32" t="s">
        <v>106</v>
      </c>
      <c r="C82" s="33">
        <f t="shared" ref="C82:I82" si="30">C83</f>
        <v>5114641368</v>
      </c>
      <c r="D82" s="33">
        <f t="shared" si="30"/>
        <v>0</v>
      </c>
      <c r="E82" s="33">
        <f t="shared" si="30"/>
        <v>0</v>
      </c>
      <c r="F82" s="33">
        <f t="shared" si="30"/>
        <v>0</v>
      </c>
      <c r="G82" s="33">
        <f t="shared" si="30"/>
        <v>0</v>
      </c>
      <c r="H82" s="33">
        <f t="shared" si="30"/>
        <v>0</v>
      </c>
      <c r="I82" s="33">
        <f t="shared" si="30"/>
        <v>1697378397</v>
      </c>
      <c r="J82" s="34">
        <f t="shared" si="2"/>
        <v>33.186655229039708</v>
      </c>
      <c r="K82" s="52">
        <f t="shared" si="10"/>
        <v>33.186655229039708</v>
      </c>
      <c r="L82" s="53"/>
      <c r="M82" s="35"/>
      <c r="N82" s="33">
        <f t="shared" si="3"/>
        <v>1697378397</v>
      </c>
      <c r="O82" s="35"/>
      <c r="P82" s="35"/>
      <c r="Q82" s="36">
        <v>0</v>
      </c>
      <c r="R82" s="35"/>
      <c r="S82" s="35"/>
      <c r="T82" s="35"/>
      <c r="U82" s="73"/>
      <c r="V82" s="46"/>
    </row>
    <row r="83" spans="1:22" ht="28.5" customHeight="1" x14ac:dyDescent="0.2">
      <c r="A83" s="75"/>
      <c r="B83" s="23" t="s">
        <v>107</v>
      </c>
      <c r="C83" s="24">
        <f>SUM(C84:C95)</f>
        <v>5114641368</v>
      </c>
      <c r="D83" s="24">
        <f t="shared" ref="D83:H83" si="31">SUM(D84:D95)</f>
        <v>0</v>
      </c>
      <c r="E83" s="24">
        <f t="shared" si="31"/>
        <v>0</v>
      </c>
      <c r="F83" s="24">
        <f t="shared" si="31"/>
        <v>0</v>
      </c>
      <c r="G83" s="24">
        <f t="shared" si="31"/>
        <v>0</v>
      </c>
      <c r="H83" s="24">
        <f t="shared" si="31"/>
        <v>0</v>
      </c>
      <c r="I83" s="24">
        <f>SUM(I84:I95)</f>
        <v>1697378397</v>
      </c>
      <c r="J83" s="25">
        <f t="shared" si="2"/>
        <v>33.186655229039708</v>
      </c>
      <c r="K83" s="51">
        <f t="shared" si="10"/>
        <v>33.186655229039708</v>
      </c>
      <c r="L83" s="42"/>
      <c r="M83" s="43"/>
      <c r="N83" s="24">
        <f t="shared" si="3"/>
        <v>1697378397</v>
      </c>
      <c r="O83" s="43"/>
      <c r="P83" s="43"/>
      <c r="Q83" s="44">
        <v>0</v>
      </c>
      <c r="R83" s="43"/>
      <c r="S83" s="43"/>
      <c r="T83" s="43"/>
      <c r="U83" s="76"/>
      <c r="V83" s="46"/>
    </row>
    <row r="84" spans="1:22" s="70" customFormat="1" ht="26.25" customHeight="1" x14ac:dyDescent="0.2">
      <c r="A84" s="71"/>
      <c r="B84" s="48" t="s">
        <v>108</v>
      </c>
      <c r="C84" s="49">
        <v>60000000</v>
      </c>
      <c r="D84" s="28"/>
      <c r="E84" s="28"/>
      <c r="F84" s="28"/>
      <c r="G84" s="28"/>
      <c r="H84" s="28"/>
      <c r="I84" s="49">
        <f>6558000+7545000+4960000+6418500</f>
        <v>25481500</v>
      </c>
      <c r="J84" s="50">
        <f t="shared" ref="J84:J102" si="32">I84/C84*100</f>
        <v>42.469166666666666</v>
      </c>
      <c r="K84" s="51">
        <f t="shared" si="10"/>
        <v>42.469166666666666</v>
      </c>
      <c r="L84" s="42"/>
      <c r="M84" s="27"/>
      <c r="N84" s="24">
        <f t="shared" ref="N84:N103" si="33">I84</f>
        <v>25481500</v>
      </c>
      <c r="O84" s="27"/>
      <c r="P84" s="27"/>
      <c r="Q84" s="28">
        <f>SUM(Q85:Q90)</f>
        <v>0</v>
      </c>
      <c r="R84" s="27"/>
      <c r="S84" s="27"/>
      <c r="T84" s="27"/>
      <c r="U84" s="69"/>
      <c r="V84" s="46"/>
    </row>
    <row r="85" spans="1:22" ht="30" customHeight="1" x14ac:dyDescent="0.2">
      <c r="A85" s="75"/>
      <c r="B85" s="48" t="s">
        <v>109</v>
      </c>
      <c r="C85" s="49">
        <v>40000000</v>
      </c>
      <c r="D85" s="44"/>
      <c r="E85" s="44"/>
      <c r="F85" s="44"/>
      <c r="G85" s="44"/>
      <c r="H85" s="44"/>
      <c r="I85" s="49"/>
      <c r="J85" s="50">
        <f t="shared" si="32"/>
        <v>0</v>
      </c>
      <c r="K85" s="51">
        <f t="shared" si="10"/>
        <v>0</v>
      </c>
      <c r="L85" s="42"/>
      <c r="M85" s="43"/>
      <c r="N85" s="24">
        <f t="shared" si="33"/>
        <v>0</v>
      </c>
      <c r="O85" s="43"/>
      <c r="P85" s="43"/>
      <c r="Q85" s="44">
        <v>0</v>
      </c>
      <c r="R85" s="43"/>
      <c r="S85" s="43"/>
      <c r="T85" s="43"/>
      <c r="U85" s="76"/>
      <c r="V85" s="46"/>
    </row>
    <row r="86" spans="1:22" ht="30" customHeight="1" x14ac:dyDescent="0.2">
      <c r="A86" s="75"/>
      <c r="B86" s="48" t="s">
        <v>110</v>
      </c>
      <c r="C86" s="49">
        <v>60000000</v>
      </c>
      <c r="D86" s="44"/>
      <c r="E86" s="44"/>
      <c r="F86" s="44"/>
      <c r="G86" s="44"/>
      <c r="H86" s="44"/>
      <c r="I86" s="49">
        <f>18605760+12720000</f>
        <v>31325760</v>
      </c>
      <c r="J86" s="50">
        <f t="shared" si="32"/>
        <v>52.209600000000002</v>
      </c>
      <c r="K86" s="51">
        <f t="shared" si="10"/>
        <v>52.209600000000002</v>
      </c>
      <c r="L86" s="42"/>
      <c r="M86" s="43"/>
      <c r="N86" s="24">
        <f t="shared" si="33"/>
        <v>31325760</v>
      </c>
      <c r="O86" s="43"/>
      <c r="P86" s="43"/>
      <c r="Q86" s="44">
        <v>0</v>
      </c>
      <c r="R86" s="43"/>
      <c r="S86" s="43"/>
      <c r="T86" s="43"/>
      <c r="U86" s="76"/>
      <c r="V86" s="46"/>
    </row>
    <row r="87" spans="1:22" ht="20.25" customHeight="1" x14ac:dyDescent="0.2">
      <c r="A87" s="75"/>
      <c r="B87" s="48" t="s">
        <v>111</v>
      </c>
      <c r="C87" s="49">
        <v>3450641368</v>
      </c>
      <c r="D87" s="44"/>
      <c r="E87" s="44"/>
      <c r="F87" s="44"/>
      <c r="G87" s="44"/>
      <c r="H87" s="44"/>
      <c r="I87" s="49">
        <f>230349568+230444520+232071520+16308240+25975000+11925000+232338520+39758240+232352424+7800000+1710000+8154120+232639280+38845000+23859120</f>
        <v>1564530552</v>
      </c>
      <c r="J87" s="50">
        <f t="shared" si="32"/>
        <v>45.340282722768308</v>
      </c>
      <c r="K87" s="51">
        <f t="shared" si="10"/>
        <v>45.340282722768308</v>
      </c>
      <c r="L87" s="42"/>
      <c r="M87" s="43"/>
      <c r="N87" s="24">
        <f t="shared" si="33"/>
        <v>1564530552</v>
      </c>
      <c r="O87" s="43"/>
      <c r="P87" s="43"/>
      <c r="Q87" s="44">
        <v>0</v>
      </c>
      <c r="R87" s="43"/>
      <c r="S87" s="43"/>
      <c r="T87" s="43"/>
      <c r="U87" s="76"/>
      <c r="V87" s="46"/>
    </row>
    <row r="88" spans="1:22" s="70" customFormat="1" ht="27" customHeight="1" x14ac:dyDescent="0.2">
      <c r="A88" s="77"/>
      <c r="B88" s="48" t="s">
        <v>112</v>
      </c>
      <c r="C88" s="49">
        <v>1210000000</v>
      </c>
      <c r="D88" s="28"/>
      <c r="E88" s="28"/>
      <c r="F88" s="28"/>
      <c r="G88" s="28"/>
      <c r="H88" s="28"/>
      <c r="I88" s="49"/>
      <c r="J88" s="50">
        <f t="shared" si="32"/>
        <v>0</v>
      </c>
      <c r="K88" s="26">
        <f t="shared" si="10"/>
        <v>0</v>
      </c>
      <c r="L88" s="42"/>
      <c r="M88" s="27"/>
      <c r="N88" s="24">
        <f t="shared" si="33"/>
        <v>0</v>
      </c>
      <c r="O88" s="27"/>
      <c r="P88" s="27"/>
      <c r="Q88" s="28">
        <v>0</v>
      </c>
      <c r="R88" s="27"/>
      <c r="S88" s="27"/>
      <c r="T88" s="27"/>
      <c r="U88" s="69"/>
      <c r="V88" s="46"/>
    </row>
    <row r="89" spans="1:22" ht="30" customHeight="1" x14ac:dyDescent="0.2">
      <c r="A89" s="75"/>
      <c r="B89" s="48" t="s">
        <v>113</v>
      </c>
      <c r="C89" s="49">
        <v>87500000</v>
      </c>
      <c r="D89" s="44"/>
      <c r="E89" s="44"/>
      <c r="F89" s="44"/>
      <c r="G89" s="44"/>
      <c r="H89" s="44"/>
      <c r="I89" s="49">
        <f>16831080+16404400+2600000+2718040</f>
        <v>38553520</v>
      </c>
      <c r="J89" s="50">
        <f t="shared" si="32"/>
        <v>44.061165714285714</v>
      </c>
      <c r="K89" s="51">
        <f t="shared" ref="K89:K103" si="34">J89</f>
        <v>44.061165714285714</v>
      </c>
      <c r="L89" s="42"/>
      <c r="M89" s="43"/>
      <c r="N89" s="24">
        <f t="shared" si="33"/>
        <v>38553520</v>
      </c>
      <c r="O89" s="43"/>
      <c r="P89" s="43"/>
      <c r="Q89" s="44">
        <v>0</v>
      </c>
      <c r="R89" s="43"/>
      <c r="S89" s="43"/>
      <c r="T89" s="43"/>
      <c r="U89" s="76"/>
      <c r="V89" s="46"/>
    </row>
    <row r="90" spans="1:22" ht="26.25" customHeight="1" x14ac:dyDescent="0.2">
      <c r="A90" s="75"/>
      <c r="B90" s="48" t="s">
        <v>114</v>
      </c>
      <c r="C90" s="49">
        <v>25000000</v>
      </c>
      <c r="D90" s="44"/>
      <c r="E90" s="44"/>
      <c r="F90" s="44"/>
      <c r="G90" s="44"/>
      <c r="H90" s="44"/>
      <c r="I90" s="49"/>
      <c r="J90" s="50">
        <f t="shared" si="32"/>
        <v>0</v>
      </c>
      <c r="K90" s="51">
        <f t="shared" si="34"/>
        <v>0</v>
      </c>
      <c r="L90" s="42"/>
      <c r="M90" s="43"/>
      <c r="N90" s="24">
        <f t="shared" si="33"/>
        <v>0</v>
      </c>
      <c r="O90" s="43"/>
      <c r="P90" s="43"/>
      <c r="Q90" s="44">
        <v>0</v>
      </c>
      <c r="R90" s="43"/>
      <c r="S90" s="43"/>
      <c r="T90" s="43"/>
      <c r="U90" s="76"/>
      <c r="V90" s="46"/>
    </row>
    <row r="91" spans="1:22" s="70" customFormat="1" ht="20.25" customHeight="1" x14ac:dyDescent="0.2">
      <c r="A91" s="71"/>
      <c r="B91" s="48" t="s">
        <v>115</v>
      </c>
      <c r="C91" s="49">
        <v>40000000</v>
      </c>
      <c r="D91" s="28"/>
      <c r="E91" s="28"/>
      <c r="F91" s="28"/>
      <c r="G91" s="28"/>
      <c r="H91" s="28"/>
      <c r="I91" s="49">
        <v>24777990</v>
      </c>
      <c r="J91" s="50">
        <f t="shared" si="32"/>
        <v>61.944974999999999</v>
      </c>
      <c r="K91" s="51">
        <f t="shared" si="34"/>
        <v>61.944974999999999</v>
      </c>
      <c r="L91" s="42"/>
      <c r="M91" s="27"/>
      <c r="N91" s="24">
        <f t="shared" si="33"/>
        <v>24777990</v>
      </c>
      <c r="O91" s="27"/>
      <c r="P91" s="27"/>
      <c r="Q91" s="28">
        <f>SUM(Q92)</f>
        <v>0</v>
      </c>
      <c r="R91" s="43"/>
      <c r="S91" s="43"/>
      <c r="T91" s="27"/>
      <c r="U91" s="69"/>
      <c r="V91" s="46"/>
    </row>
    <row r="92" spans="1:22" ht="28.5" customHeight="1" x14ac:dyDescent="0.2">
      <c r="A92" s="75"/>
      <c r="B92" s="48" t="s">
        <v>116</v>
      </c>
      <c r="C92" s="49">
        <v>45000000</v>
      </c>
      <c r="D92" s="61"/>
      <c r="E92" s="60"/>
      <c r="F92" s="44"/>
      <c r="G92" s="44"/>
      <c r="H92" s="44"/>
      <c r="I92" s="49">
        <v>3750000</v>
      </c>
      <c r="J92" s="50">
        <f t="shared" si="32"/>
        <v>8.3333333333333321</v>
      </c>
      <c r="K92" s="51">
        <f t="shared" si="34"/>
        <v>8.3333333333333321</v>
      </c>
      <c r="L92" s="42"/>
      <c r="M92" s="43"/>
      <c r="N92" s="24">
        <f t="shared" si="33"/>
        <v>3750000</v>
      </c>
      <c r="O92" s="43"/>
      <c r="P92" s="43"/>
      <c r="Q92" s="44">
        <v>0</v>
      </c>
      <c r="R92" s="43"/>
      <c r="S92" s="43"/>
      <c r="T92" s="43"/>
      <c r="U92" s="76"/>
      <c r="V92" s="46"/>
    </row>
    <row r="93" spans="1:22" ht="28.5" customHeight="1" x14ac:dyDescent="0.2">
      <c r="A93" s="75"/>
      <c r="B93" s="48" t="s">
        <v>117</v>
      </c>
      <c r="C93" s="49">
        <v>40000000</v>
      </c>
      <c r="D93" s="61"/>
      <c r="E93" s="60"/>
      <c r="F93" s="44"/>
      <c r="G93" s="44"/>
      <c r="H93" s="44"/>
      <c r="I93" s="49">
        <f>807500+2099400</f>
        <v>2906900</v>
      </c>
      <c r="J93" s="50">
        <f t="shared" si="32"/>
        <v>7.2672499999999998</v>
      </c>
      <c r="K93" s="51">
        <f t="shared" si="34"/>
        <v>7.2672499999999998</v>
      </c>
      <c r="L93" s="42"/>
      <c r="M93" s="43"/>
      <c r="N93" s="24">
        <f t="shared" si="33"/>
        <v>2906900</v>
      </c>
      <c r="O93" s="43"/>
      <c r="P93" s="43"/>
      <c r="Q93" s="44">
        <v>0</v>
      </c>
      <c r="R93" s="43"/>
      <c r="S93" s="43"/>
      <c r="T93" s="43"/>
      <c r="U93" s="76"/>
      <c r="V93" s="46"/>
    </row>
    <row r="94" spans="1:22" ht="28.5" customHeight="1" x14ac:dyDescent="0.2">
      <c r="A94" s="75"/>
      <c r="B94" s="48" t="s">
        <v>118</v>
      </c>
      <c r="C94" s="49">
        <v>25000000</v>
      </c>
      <c r="D94" s="61"/>
      <c r="E94" s="60"/>
      <c r="F94" s="44"/>
      <c r="G94" s="44"/>
      <c r="H94" s="44"/>
      <c r="I94" s="49"/>
      <c r="J94" s="50">
        <f t="shared" si="32"/>
        <v>0</v>
      </c>
      <c r="K94" s="51">
        <f t="shared" si="34"/>
        <v>0</v>
      </c>
      <c r="L94" s="42"/>
      <c r="M94" s="43"/>
      <c r="N94" s="24"/>
      <c r="O94" s="43"/>
      <c r="P94" s="43"/>
      <c r="Q94" s="44"/>
      <c r="R94" s="43"/>
      <c r="S94" s="43"/>
      <c r="T94" s="43"/>
      <c r="U94" s="76"/>
      <c r="V94" s="46"/>
    </row>
    <row r="95" spans="1:22" ht="31.5" customHeight="1" x14ac:dyDescent="0.2">
      <c r="A95" s="71"/>
      <c r="B95" s="48" t="s">
        <v>119</v>
      </c>
      <c r="C95" s="49">
        <v>31500000</v>
      </c>
      <c r="D95" s="28"/>
      <c r="E95" s="28"/>
      <c r="F95" s="28"/>
      <c r="G95" s="28"/>
      <c r="H95" s="28"/>
      <c r="I95" s="49">
        <v>6052175</v>
      </c>
      <c r="J95" s="50">
        <f t="shared" si="32"/>
        <v>19.213253968253969</v>
      </c>
      <c r="K95" s="51">
        <f t="shared" si="34"/>
        <v>19.213253968253969</v>
      </c>
      <c r="L95" s="42"/>
      <c r="M95" s="27"/>
      <c r="N95" s="24">
        <f t="shared" si="33"/>
        <v>6052175</v>
      </c>
      <c r="O95" s="27"/>
      <c r="P95" s="27"/>
      <c r="Q95" s="28">
        <f>SUM(Q96:Q97)</f>
        <v>0</v>
      </c>
      <c r="R95" s="43"/>
      <c r="S95" s="43"/>
      <c r="T95" s="27"/>
      <c r="U95" s="76"/>
      <c r="V95" s="46"/>
    </row>
    <row r="96" spans="1:22" s="79" customFormat="1" ht="27.75" customHeight="1" x14ac:dyDescent="0.2">
      <c r="A96" s="72" t="s">
        <v>120</v>
      </c>
      <c r="B96" s="32" t="s">
        <v>121</v>
      </c>
      <c r="C96" s="33">
        <f t="shared" ref="C96:H96" si="35">C97</f>
        <v>1180000000</v>
      </c>
      <c r="D96" s="33">
        <f t="shared" si="35"/>
        <v>0</v>
      </c>
      <c r="E96" s="33">
        <f t="shared" si="35"/>
        <v>0</v>
      </c>
      <c r="F96" s="33">
        <f t="shared" si="35"/>
        <v>0</v>
      </c>
      <c r="G96" s="33">
        <f t="shared" si="35"/>
        <v>0</v>
      </c>
      <c r="H96" s="33">
        <f t="shared" si="35"/>
        <v>0</v>
      </c>
      <c r="I96" s="33">
        <f>I97</f>
        <v>241739467</v>
      </c>
      <c r="J96" s="34">
        <f t="shared" si="32"/>
        <v>20.486395508474576</v>
      </c>
      <c r="K96" s="55">
        <f t="shared" si="34"/>
        <v>20.486395508474576</v>
      </c>
      <c r="L96" s="53"/>
      <c r="M96" s="53"/>
      <c r="N96" s="33">
        <f t="shared" si="33"/>
        <v>241739467</v>
      </c>
      <c r="O96" s="53"/>
      <c r="P96" s="53"/>
      <c r="Q96" s="65">
        <v>0</v>
      </c>
      <c r="R96" s="53"/>
      <c r="S96" s="53"/>
      <c r="T96" s="53"/>
      <c r="U96" s="78"/>
      <c r="V96" s="46"/>
    </row>
    <row r="97" spans="1:22" ht="27.75" customHeight="1" x14ac:dyDescent="0.2">
      <c r="A97" s="75"/>
      <c r="B97" s="23" t="s">
        <v>122</v>
      </c>
      <c r="C97" s="24">
        <f>SUM(C98:C102)</f>
        <v>1180000000</v>
      </c>
      <c r="D97" s="24">
        <f t="shared" ref="D97:H97" si="36">SUM(D98:D102)</f>
        <v>0</v>
      </c>
      <c r="E97" s="24">
        <f t="shared" si="36"/>
        <v>0</v>
      </c>
      <c r="F97" s="24">
        <f t="shared" si="36"/>
        <v>0</v>
      </c>
      <c r="G97" s="24">
        <f t="shared" si="36"/>
        <v>0</v>
      </c>
      <c r="H97" s="24">
        <f t="shared" si="36"/>
        <v>0</v>
      </c>
      <c r="I97" s="24">
        <f>SUM(I98:I102)</f>
        <v>241739467</v>
      </c>
      <c r="J97" s="25">
        <f t="shared" si="32"/>
        <v>20.486395508474576</v>
      </c>
      <c r="K97" s="51">
        <f t="shared" si="34"/>
        <v>20.486395508474576</v>
      </c>
      <c r="L97" s="42"/>
      <c r="M97" s="43"/>
      <c r="N97" s="24">
        <f t="shared" si="33"/>
        <v>241739467</v>
      </c>
      <c r="O97" s="43"/>
      <c r="P97" s="43"/>
      <c r="Q97" s="44">
        <v>0</v>
      </c>
      <c r="R97" s="43"/>
      <c r="S97" s="43"/>
      <c r="T97" s="43"/>
      <c r="U97" s="76"/>
      <c r="V97" s="46"/>
    </row>
    <row r="98" spans="1:22" ht="83.25" customHeight="1" x14ac:dyDescent="0.2">
      <c r="A98" s="71"/>
      <c r="B98" s="48" t="s">
        <v>123</v>
      </c>
      <c r="C98" s="49">
        <v>55000000</v>
      </c>
      <c r="D98" s="28"/>
      <c r="E98" s="28"/>
      <c r="F98" s="28"/>
      <c r="G98" s="28"/>
      <c r="H98" s="28"/>
      <c r="I98" s="49">
        <f>3569805+7060540</f>
        <v>10630345</v>
      </c>
      <c r="J98" s="50">
        <f t="shared" si="32"/>
        <v>19.3279</v>
      </c>
      <c r="K98" s="51">
        <f t="shared" si="34"/>
        <v>19.3279</v>
      </c>
      <c r="L98" s="42"/>
      <c r="M98" s="27"/>
      <c r="N98" s="24">
        <f t="shared" si="33"/>
        <v>10630345</v>
      </c>
      <c r="O98" s="27"/>
      <c r="P98" s="27"/>
      <c r="Q98" s="28">
        <f>SUM(Q100:Q102)</f>
        <v>0</v>
      </c>
      <c r="R98" s="27"/>
      <c r="S98" s="27"/>
      <c r="T98" s="27"/>
      <c r="U98" s="76"/>
      <c r="V98" s="46"/>
    </row>
    <row r="99" spans="1:22" ht="66.75" customHeight="1" x14ac:dyDescent="0.2">
      <c r="A99" s="71"/>
      <c r="B99" s="48" t="s">
        <v>124</v>
      </c>
      <c r="C99" s="49">
        <v>65000000</v>
      </c>
      <c r="D99" s="28"/>
      <c r="E99" s="28"/>
      <c r="F99" s="28"/>
      <c r="G99" s="28"/>
      <c r="H99" s="28"/>
      <c r="I99" s="49"/>
      <c r="J99" s="50">
        <f t="shared" si="32"/>
        <v>0</v>
      </c>
      <c r="K99" s="51">
        <f t="shared" si="34"/>
        <v>0</v>
      </c>
      <c r="L99" s="42"/>
      <c r="M99" s="27"/>
      <c r="N99" s="24">
        <f t="shared" si="33"/>
        <v>0</v>
      </c>
      <c r="O99" s="27"/>
      <c r="P99" s="27"/>
      <c r="Q99" s="28">
        <f>SUM(Q101:Q103)</f>
        <v>0</v>
      </c>
      <c r="R99" s="27"/>
      <c r="S99" s="27"/>
      <c r="T99" s="27"/>
      <c r="U99" s="76"/>
      <c r="V99" s="46"/>
    </row>
    <row r="100" spans="1:22" ht="48" customHeight="1" x14ac:dyDescent="0.2">
      <c r="A100" s="75"/>
      <c r="B100" s="48" t="s">
        <v>125</v>
      </c>
      <c r="C100" s="49">
        <v>20000000</v>
      </c>
      <c r="D100" s="44"/>
      <c r="E100" s="44"/>
      <c r="F100" s="44"/>
      <c r="G100" s="44"/>
      <c r="H100" s="44"/>
      <c r="I100" s="49"/>
      <c r="J100" s="50">
        <f t="shared" si="32"/>
        <v>0</v>
      </c>
      <c r="K100" s="51">
        <f t="shared" si="34"/>
        <v>0</v>
      </c>
      <c r="L100" s="42"/>
      <c r="M100" s="43"/>
      <c r="N100" s="24">
        <f t="shared" si="33"/>
        <v>0</v>
      </c>
      <c r="O100" s="43"/>
      <c r="P100" s="43"/>
      <c r="Q100" s="44">
        <v>0</v>
      </c>
      <c r="R100" s="43"/>
      <c r="S100" s="43"/>
      <c r="T100" s="43"/>
      <c r="U100" s="76"/>
      <c r="V100" s="46"/>
    </row>
    <row r="101" spans="1:22" ht="28.5" customHeight="1" x14ac:dyDescent="0.2">
      <c r="A101" s="75"/>
      <c r="B101" s="48" t="s">
        <v>126</v>
      </c>
      <c r="C101" s="49">
        <v>40000000</v>
      </c>
      <c r="D101" s="44"/>
      <c r="E101" s="44"/>
      <c r="F101" s="44"/>
      <c r="G101" s="44"/>
      <c r="H101" s="44"/>
      <c r="I101" s="49">
        <v>22214773</v>
      </c>
      <c r="J101" s="50">
        <f t="shared" si="32"/>
        <v>55.536932500000006</v>
      </c>
      <c r="K101" s="51">
        <f t="shared" si="34"/>
        <v>55.536932500000006</v>
      </c>
      <c r="L101" s="42"/>
      <c r="M101" s="43"/>
      <c r="N101" s="24">
        <f t="shared" si="33"/>
        <v>22214773</v>
      </c>
      <c r="O101" s="43"/>
      <c r="P101" s="43"/>
      <c r="Q101" s="44">
        <v>0</v>
      </c>
      <c r="R101" s="43"/>
      <c r="S101" s="43"/>
      <c r="T101" s="43"/>
      <c r="U101" s="76"/>
      <c r="V101" s="46"/>
    </row>
    <row r="102" spans="1:22" ht="26.25" customHeight="1" x14ac:dyDescent="0.2">
      <c r="A102" s="75"/>
      <c r="B102" s="48" t="s">
        <v>127</v>
      </c>
      <c r="C102" s="49">
        <v>1000000000</v>
      </c>
      <c r="D102" s="44"/>
      <c r="E102" s="44"/>
      <c r="F102" s="44"/>
      <c r="G102" s="44"/>
      <c r="H102" s="44"/>
      <c r="I102" s="49">
        <f>50199240+33208453+28066700+18261956+79158000</f>
        <v>208894349</v>
      </c>
      <c r="J102" s="50">
        <f t="shared" si="32"/>
        <v>20.889434900000001</v>
      </c>
      <c r="K102" s="51">
        <f t="shared" si="34"/>
        <v>20.889434900000001</v>
      </c>
      <c r="L102" s="42"/>
      <c r="M102" s="43"/>
      <c r="N102" s="24">
        <f t="shared" si="33"/>
        <v>208894349</v>
      </c>
      <c r="O102" s="43"/>
      <c r="P102" s="43"/>
      <c r="Q102" s="44">
        <v>0</v>
      </c>
      <c r="R102" s="43"/>
      <c r="S102" s="43"/>
      <c r="T102" s="43"/>
      <c r="U102" s="76"/>
      <c r="V102" s="46"/>
    </row>
    <row r="103" spans="1:22" s="70" customFormat="1" ht="26.25" customHeight="1" x14ac:dyDescent="0.2">
      <c r="A103" s="80"/>
      <c r="B103" s="81" t="s">
        <v>128</v>
      </c>
      <c r="C103" s="24">
        <f t="shared" ref="C103:I103" si="37">C10+C72</f>
        <v>19517816350</v>
      </c>
      <c r="D103" s="24">
        <f t="shared" si="37"/>
        <v>0</v>
      </c>
      <c r="E103" s="24">
        <f t="shared" si="37"/>
        <v>0</v>
      </c>
      <c r="F103" s="24">
        <f t="shared" si="37"/>
        <v>0</v>
      </c>
      <c r="G103" s="24">
        <f t="shared" si="37"/>
        <v>0</v>
      </c>
      <c r="H103" s="24">
        <f t="shared" si="37"/>
        <v>0</v>
      </c>
      <c r="I103" s="24">
        <f t="shared" si="37"/>
        <v>9820358957</v>
      </c>
      <c r="J103" s="25">
        <f>I103/C103*100</f>
        <v>50.314844554831559</v>
      </c>
      <c r="K103" s="51">
        <f t="shared" si="34"/>
        <v>50.314844554831559</v>
      </c>
      <c r="L103" s="42"/>
      <c r="M103" s="82"/>
      <c r="N103" s="24">
        <f t="shared" si="33"/>
        <v>9820358957</v>
      </c>
      <c r="O103" s="80"/>
      <c r="P103" s="80"/>
      <c r="Q103" s="83">
        <v>0</v>
      </c>
      <c r="R103" s="80"/>
      <c r="S103" s="80"/>
      <c r="T103" s="80"/>
      <c r="U103" s="69"/>
    </row>
    <row r="104" spans="1:22" ht="17.100000000000001" customHeight="1" x14ac:dyDescent="0.2">
      <c r="I104" s="85"/>
    </row>
    <row r="105" spans="1:22" ht="17.100000000000001" customHeight="1" x14ac:dyDescent="0.2">
      <c r="I105" s="85"/>
    </row>
    <row r="106" spans="1:22" ht="17.100000000000001" customHeight="1" x14ac:dyDescent="0.2">
      <c r="O106" s="86" t="s">
        <v>129</v>
      </c>
    </row>
    <row r="107" spans="1:22" ht="17.100000000000001" customHeight="1" x14ac:dyDescent="0.2">
      <c r="O107" s="86" t="s">
        <v>130</v>
      </c>
    </row>
    <row r="108" spans="1:22" ht="17.100000000000001" customHeight="1" x14ac:dyDescent="0.2">
      <c r="O108" s="86"/>
    </row>
    <row r="109" spans="1:22" ht="17.100000000000001" customHeight="1" x14ac:dyDescent="0.2">
      <c r="I109" s="87"/>
      <c r="O109" s="86"/>
    </row>
    <row r="110" spans="1:22" ht="17.100000000000001" customHeight="1" x14ac:dyDescent="0.2">
      <c r="I110" s="85"/>
      <c r="O110" s="88" t="s">
        <v>131</v>
      </c>
    </row>
    <row r="111" spans="1:22" ht="17.100000000000001" customHeight="1" x14ac:dyDescent="0.2">
      <c r="O111" s="86" t="s">
        <v>132</v>
      </c>
    </row>
  </sheetData>
  <mergeCells count="13">
    <mergeCell ref="O7:Q7"/>
    <mergeCell ref="R7:S7"/>
    <mergeCell ref="T7:T8"/>
    <mergeCell ref="A1:T1"/>
    <mergeCell ref="A2:T2"/>
    <mergeCell ref="A7:A8"/>
    <mergeCell ref="B7:B8"/>
    <mergeCell ref="D7:D8"/>
    <mergeCell ref="E7:E8"/>
    <mergeCell ref="F7:F8"/>
    <mergeCell ref="G7:H7"/>
    <mergeCell ref="I7:J7"/>
    <mergeCell ref="L7:N7"/>
  </mergeCells>
  <pageMargins left="0.9055118110236221" right="0.9055118110236221" top="0.55118110236220474" bottom="0.35433070866141736" header="0.31496062992125984" footer="0.31496062992125984"/>
  <pageSetup paperSize="10000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KPKPA JUNI 2023</vt:lpstr>
      <vt:lpstr>'KPKPA JUNI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2023-06-27T08:55:18Z</dcterms:created>
  <dcterms:modified xsi:type="dcterms:W3CDTF">2023-06-27T09:30:21Z</dcterms:modified>
</cp:coreProperties>
</file>